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30" windowWidth="28140" windowHeight="11805" tabRatio="915"/>
  </bookViews>
  <sheets>
    <sheet name="lisa 1(koond)" sheetId="1" r:id="rId1"/>
    <sheet name="lisa 2 (Tulubaas)" sheetId="2" r:id="rId2"/>
    <sheet name="lisa 3 (põhitegevus)" sheetId="4" r:id="rId3"/>
    <sheet name="Lisa 4 (invest)" sheetId="12" r:id="rId4"/>
    <sheet name="Lisa 5 (finants)" sheetId="13" r:id="rId5"/>
  </sheets>
  <definedNames>
    <definedName name="_xlnm._FilterDatabase" localSheetId="2" hidden="1">'lisa 3 (põhitegevus)'!$B$1:$C$161</definedName>
    <definedName name="Prinditiitlid" localSheetId="2">'lisa 3 (põhitegevus)'!$4:$4</definedName>
  </definedNames>
  <calcPr calcId="125725"/>
</workbook>
</file>

<file path=xl/calcChain.xml><?xml version="1.0" encoding="utf-8"?>
<calcChain xmlns="http://schemas.openxmlformats.org/spreadsheetml/2006/main">
  <c r="E17" i="13"/>
  <c r="C150" i="4"/>
  <c r="C14"/>
  <c r="C44"/>
  <c r="C47" i="12"/>
  <c r="C45"/>
  <c r="B39" i="1"/>
  <c r="D114" i="12"/>
  <c r="C114"/>
  <c r="B37" i="2" l="1"/>
  <c r="B36"/>
  <c r="B44"/>
  <c r="C26" i="12"/>
  <c r="B40" i="2" l="1"/>
  <c r="C51" i="4"/>
  <c r="C23"/>
  <c r="C16"/>
  <c r="C20"/>
  <c r="C61"/>
  <c r="C40"/>
  <c r="C38"/>
  <c r="C145"/>
  <c r="C140"/>
  <c r="C134"/>
  <c r="C94"/>
  <c r="C92"/>
  <c r="C126"/>
  <c r="C125"/>
  <c r="C107"/>
  <c r="C128"/>
  <c r="C99"/>
  <c r="C96"/>
  <c r="C158"/>
  <c r="C82"/>
  <c r="E103" i="12"/>
  <c r="C104"/>
  <c r="C100"/>
  <c r="C67"/>
  <c r="C66"/>
  <c r="E19"/>
  <c r="D18" i="13" l="1"/>
  <c r="C18"/>
  <c r="E7"/>
  <c r="E8"/>
  <c r="E9"/>
  <c r="E10"/>
  <c r="E11"/>
  <c r="E12"/>
  <c r="E13"/>
  <c r="E14"/>
  <c r="E15"/>
  <c r="E16"/>
  <c r="E18" s="1"/>
  <c r="E6"/>
  <c r="B27" i="2"/>
  <c r="D117" i="12"/>
  <c r="C117"/>
  <c r="D115"/>
  <c r="C115"/>
  <c r="E116"/>
  <c r="E118"/>
  <c r="D111"/>
  <c r="C111"/>
  <c r="D109"/>
  <c r="C109"/>
  <c r="E110"/>
  <c r="E112"/>
  <c r="E113"/>
  <c r="C106"/>
  <c r="E106" s="1"/>
  <c r="E107"/>
  <c r="E108"/>
  <c r="D98"/>
  <c r="C98"/>
  <c r="E99"/>
  <c r="E100"/>
  <c r="E101"/>
  <c r="E102"/>
  <c r="E104"/>
  <c r="E105"/>
  <c r="D94"/>
  <c r="C94"/>
  <c r="E97"/>
  <c r="E96"/>
  <c r="D86"/>
  <c r="C86"/>
  <c r="E93"/>
  <c r="E92"/>
  <c r="E91"/>
  <c r="E89"/>
  <c r="E90"/>
  <c r="E95"/>
  <c r="D82"/>
  <c r="C82"/>
  <c r="D79"/>
  <c r="C79"/>
  <c r="E80"/>
  <c r="E81"/>
  <c r="E83"/>
  <c r="E84"/>
  <c r="E87"/>
  <c r="D77"/>
  <c r="C77"/>
  <c r="E78"/>
  <c r="D75"/>
  <c r="C75"/>
  <c r="E76"/>
  <c r="D72"/>
  <c r="C72"/>
  <c r="E74"/>
  <c r="C68"/>
  <c r="E68" s="1"/>
  <c r="E70"/>
  <c r="D63"/>
  <c r="C63"/>
  <c r="E67"/>
  <c r="E66"/>
  <c r="E65"/>
  <c r="D59"/>
  <c r="C59"/>
  <c r="E61"/>
  <c r="D55"/>
  <c r="C55"/>
  <c r="D53"/>
  <c r="C53"/>
  <c r="E54"/>
  <c r="E56"/>
  <c r="E57"/>
  <c r="E49"/>
  <c r="E50"/>
  <c r="E51"/>
  <c r="D48"/>
  <c r="C48"/>
  <c r="D46"/>
  <c r="C46"/>
  <c r="D44"/>
  <c r="C44"/>
  <c r="C49" i="4"/>
  <c r="C13"/>
  <c r="D42" i="12"/>
  <c r="C42"/>
  <c r="E43"/>
  <c r="E45"/>
  <c r="E47"/>
  <c r="D40"/>
  <c r="C40"/>
  <c r="E36"/>
  <c r="E37"/>
  <c r="E38"/>
  <c r="D35"/>
  <c r="C35"/>
  <c r="E34"/>
  <c r="D31"/>
  <c r="C31"/>
  <c r="E33"/>
  <c r="E32"/>
  <c r="D25"/>
  <c r="C25"/>
  <c r="E27"/>
  <c r="E28"/>
  <c r="E29"/>
  <c r="E30"/>
  <c r="D6"/>
  <c r="D7"/>
  <c r="C7"/>
  <c r="D8"/>
  <c r="C8"/>
  <c r="C22"/>
  <c r="E22" s="1"/>
  <c r="E23"/>
  <c r="E26"/>
  <c r="E39"/>
  <c r="E41"/>
  <c r="E60"/>
  <c r="E62"/>
  <c r="E64"/>
  <c r="E69"/>
  <c r="E73"/>
  <c r="E88"/>
  <c r="D15"/>
  <c r="D14" s="1"/>
  <c r="C15"/>
  <c r="C14" s="1"/>
  <c r="E18"/>
  <c r="E16"/>
  <c r="E17"/>
  <c r="E20"/>
  <c r="B46" i="2"/>
  <c r="B41" i="1" s="1"/>
  <c r="B43" i="2"/>
  <c r="B42" s="1"/>
  <c r="C160" i="4"/>
  <c r="C187"/>
  <c r="C184"/>
  <c r="C181"/>
  <c r="C179"/>
  <c r="C177"/>
  <c r="C174"/>
  <c r="C172"/>
  <c r="C169"/>
  <c r="C167"/>
  <c r="C164"/>
  <c r="C162"/>
  <c r="C161"/>
  <c r="C137"/>
  <c r="C136"/>
  <c r="C157"/>
  <c r="C155"/>
  <c r="C153"/>
  <c r="C151"/>
  <c r="C148"/>
  <c r="C146"/>
  <c r="C143"/>
  <c r="C141"/>
  <c r="C138"/>
  <c r="C90"/>
  <c r="C89"/>
  <c r="C133"/>
  <c r="C131"/>
  <c r="C129"/>
  <c r="C127"/>
  <c r="C124"/>
  <c r="C121"/>
  <c r="C119"/>
  <c r="C117"/>
  <c r="C114"/>
  <c r="C112"/>
  <c r="C109"/>
  <c r="C106"/>
  <c r="C104"/>
  <c r="C101"/>
  <c r="C98"/>
  <c r="C95"/>
  <c r="C93"/>
  <c r="C91"/>
  <c r="C77"/>
  <c r="C76"/>
  <c r="C85"/>
  <c r="C83"/>
  <c r="C80"/>
  <c r="C78"/>
  <c r="C73"/>
  <c r="C71"/>
  <c r="C69"/>
  <c r="C67"/>
  <c r="C66"/>
  <c r="C62"/>
  <c r="C60"/>
  <c r="C58"/>
  <c r="C55"/>
  <c r="C54"/>
  <c r="C53"/>
  <c r="C33"/>
  <c r="C46"/>
  <c r="C43"/>
  <c r="C41"/>
  <c r="C39"/>
  <c r="C37"/>
  <c r="C35"/>
  <c r="C34"/>
  <c r="C9"/>
  <c r="C29"/>
  <c r="C27"/>
  <c r="C26"/>
  <c r="C25"/>
  <c r="C21"/>
  <c r="C19"/>
  <c r="D71" i="12" l="1"/>
  <c r="C71"/>
  <c r="E55"/>
  <c r="D58"/>
  <c r="E94"/>
  <c r="C6"/>
  <c r="E6" s="1"/>
  <c r="E44"/>
  <c r="E75"/>
  <c r="E77"/>
  <c r="E86"/>
  <c r="B38" i="1"/>
  <c r="C85" i="12"/>
  <c r="E79"/>
  <c r="E82"/>
  <c r="E98"/>
  <c r="E111"/>
  <c r="E109"/>
  <c r="E117"/>
  <c r="E115"/>
  <c r="D85"/>
  <c r="C58"/>
  <c r="E25"/>
  <c r="E72"/>
  <c r="C52"/>
  <c r="E40"/>
  <c r="D52"/>
  <c r="E59"/>
  <c r="E48"/>
  <c r="E46"/>
  <c r="C24"/>
  <c r="C21" s="1"/>
  <c r="E42"/>
  <c r="E63"/>
  <c r="D24"/>
  <c r="D21" s="1"/>
  <c r="E53"/>
  <c r="E14"/>
  <c r="E35"/>
  <c r="E31"/>
  <c r="D5"/>
  <c r="E7"/>
  <c r="E8"/>
  <c r="E15"/>
  <c r="C159" i="4"/>
  <c r="C135"/>
  <c r="C88"/>
  <c r="C75"/>
  <c r="C65"/>
  <c r="C52"/>
  <c r="C6"/>
  <c r="C32"/>
  <c r="C24"/>
  <c r="E71" i="12" l="1"/>
  <c r="E58"/>
  <c r="B30" i="1" s="1"/>
  <c r="E114" i="12"/>
  <c r="B33" i="1" s="1"/>
  <c r="E85" i="12"/>
  <c r="B32" i="1" s="1"/>
  <c r="E52" i="12"/>
  <c r="B29" i="1" s="1"/>
  <c r="E21" i="12"/>
  <c r="B28" i="1" s="1"/>
  <c r="E24" i="12"/>
  <c r="B31" i="1"/>
  <c r="B27"/>
  <c r="B38" i="2"/>
  <c r="B34"/>
  <c r="B19" i="1"/>
  <c r="B18"/>
  <c r="B17"/>
  <c r="B16"/>
  <c r="B15"/>
  <c r="B14"/>
  <c r="B13"/>
  <c r="B12"/>
  <c r="B23"/>
  <c r="B8"/>
  <c r="B37"/>
  <c r="B24" i="2"/>
  <c r="B7" i="1" s="1"/>
  <c r="B12" i="2"/>
  <c r="B6" i="1" s="1"/>
  <c r="B6" i="2"/>
  <c r="B5" i="1" s="1"/>
  <c r="C10" i="4"/>
  <c r="C7" s="1"/>
  <c r="C17"/>
  <c r="C15"/>
  <c r="C11"/>
  <c r="B22" i="1" l="1"/>
  <c r="B33" i="2"/>
  <c r="B49" s="1"/>
  <c r="B24" i="1"/>
  <c r="C5" i="4"/>
  <c r="B26" i="1"/>
  <c r="B4"/>
  <c r="B5" i="2"/>
  <c r="C8" i="4"/>
  <c r="B11" i="1" s="1"/>
  <c r="B10" s="1"/>
  <c r="B21" l="1"/>
  <c r="B35" s="1"/>
  <c r="C5" i="12"/>
  <c r="E5" s="1"/>
  <c r="B43" i="1" l="1"/>
</calcChain>
</file>

<file path=xl/sharedStrings.xml><?xml version="1.0" encoding="utf-8"?>
<sst xmlns="http://schemas.openxmlformats.org/spreadsheetml/2006/main" count="545" uniqueCount="339">
  <si>
    <t>Maksud</t>
  </si>
  <si>
    <t>Kaupade ja teenuste müük</t>
  </si>
  <si>
    <t>Üldised valitsussektori teenused</t>
  </si>
  <si>
    <t>Majandus</t>
  </si>
  <si>
    <t>Keskkonnakaitse</t>
  </si>
  <si>
    <t>Elamu- ja kommunaalmajandus</t>
  </si>
  <si>
    <t>Haridus</t>
  </si>
  <si>
    <t>Sotsiaalne kaitse</t>
  </si>
  <si>
    <t>EELARVE KOGUMAHT</t>
  </si>
  <si>
    <t>T U L U B A A S</t>
  </si>
  <si>
    <t xml:space="preserve">LINNA TULUBAAS  </t>
  </si>
  <si>
    <t>Vaba aeg ja kultuur</t>
  </si>
  <si>
    <t>Finantseerimisallikad</t>
  </si>
  <si>
    <t>Kokku</t>
  </si>
  <si>
    <t>linn</t>
  </si>
  <si>
    <t>Vabaaeg ja kultuur</t>
  </si>
  <si>
    <t xml:space="preserve">   Lasteaiad</t>
  </si>
  <si>
    <t xml:space="preserve">   Muu haridus </t>
  </si>
  <si>
    <t xml:space="preserve">   Spordibaasid</t>
  </si>
  <si>
    <t>Tänavate rekonstrueerimine, ehitus</t>
  </si>
  <si>
    <t>Elamu ja kommunaalmajandus</t>
  </si>
  <si>
    <t xml:space="preserve">   Elamumajanduse arendamine</t>
  </si>
  <si>
    <t xml:space="preserve">Linnale kuuluvate korterite remont </t>
  </si>
  <si>
    <t xml:space="preserve">Linnale kuuluvate elamute remont </t>
  </si>
  <si>
    <t>KOKKU</t>
  </si>
  <si>
    <t>Eralasteaedade toetus</t>
  </si>
  <si>
    <t xml:space="preserve">   Laste huvialamajad ja keskused</t>
  </si>
  <si>
    <t>PÕHITEGEVUSE TULUD</t>
  </si>
  <si>
    <t>Saadavad toetused jooksvateks kuludeks</t>
  </si>
  <si>
    <t>Muud tegevustulud</t>
  </si>
  <si>
    <t>PÕHITEGEVUSE KULUD</t>
  </si>
  <si>
    <t>INVESTEERIMISTEGEVUSE TULUD</t>
  </si>
  <si>
    <t>INVESTEERIMISTEGEVUSE KULUD</t>
  </si>
  <si>
    <t xml:space="preserve">PÕHITEGEVUSE TULUD </t>
  </si>
  <si>
    <t>Saadavad toetused</t>
  </si>
  <si>
    <t>LIKVIIDSETE VARADE MUUTUS</t>
  </si>
  <si>
    <t>EELARVE TULEM (ülejääk (+), puudujääk (-))</t>
  </si>
  <si>
    <t>eurodes</t>
  </si>
  <si>
    <t>toetused</t>
  </si>
  <si>
    <t xml:space="preserve">   Tänavavalgustus</t>
  </si>
  <si>
    <t>Täiendavate rühmade rajamine</t>
  </si>
  <si>
    <t xml:space="preserve">    Gümnaasiumid</t>
  </si>
  <si>
    <t xml:space="preserve">   Põhikoolid</t>
  </si>
  <si>
    <t>Ettekirjutiste täitmine</t>
  </si>
  <si>
    <t>Põhivara soetus</t>
  </si>
  <si>
    <t>Põhivara soetuseks antav sihtfinantseerimine</t>
  </si>
  <si>
    <t>Annelinna Gümnaasium (Kaunase pst 68)</t>
  </si>
  <si>
    <t>FINANTSEERIMISTEGEVUS</t>
  </si>
  <si>
    <t>Üldised valitsussektori tenused</t>
  </si>
  <si>
    <t>Materiaalsete varade müük</t>
  </si>
  <si>
    <t>Finantskulud</t>
  </si>
  <si>
    <t>Koostöö võrguarendajatega</t>
  </si>
  <si>
    <t xml:space="preserve">  Muu majandus</t>
  </si>
  <si>
    <t xml:space="preserve">  Linna teed, tänavad ja sillad</t>
  </si>
  <si>
    <t>Investeerimistegevuse kulud  kokku</t>
  </si>
  <si>
    <t>Üldised valitsussektori teenused, sh:</t>
  </si>
  <si>
    <t>Linnavalitsus, sh:</t>
  </si>
  <si>
    <t>Reservfond, sh:</t>
  </si>
  <si>
    <t xml:space="preserve">   antavad toetused</t>
  </si>
  <si>
    <t xml:space="preserve">   muud tegevuskulud</t>
  </si>
  <si>
    <t>Muud üldised teenused, sh:</t>
  </si>
  <si>
    <t>Ühistegevuskulud, sh:</t>
  </si>
  <si>
    <t>Volikogu. sh:</t>
  </si>
  <si>
    <t>Avalik kord, sh:</t>
  </si>
  <si>
    <t>Politsei, sh:</t>
  </si>
  <si>
    <t>Muu avalik kord, sh:</t>
  </si>
  <si>
    <t>Maakorraldus, sh:</t>
  </si>
  <si>
    <t>Linna teed ja tänavad, sh:</t>
  </si>
  <si>
    <t>Ühistranspordi korraldus, sh:</t>
  </si>
  <si>
    <t>Õhutransport</t>
  </si>
  <si>
    <t>Turism, sh:</t>
  </si>
  <si>
    <t>Üldmajanduslikud arendusprojektid, sh:</t>
  </si>
  <si>
    <t>Muu majandus, sh:</t>
  </si>
  <si>
    <t>Jäätmekäitlus, sh:</t>
  </si>
  <si>
    <t>Majandus, sh:</t>
  </si>
  <si>
    <t>Keskkonnakaitse, sh:</t>
  </si>
  <si>
    <t>Heitveekäitlus, sh:</t>
  </si>
  <si>
    <t>Haljastus, sh:</t>
  </si>
  <si>
    <t>Muu keskkonnakaitse, sh:</t>
  </si>
  <si>
    <t>Elamu- ja kommunaalmajandus, sh:</t>
  </si>
  <si>
    <t>Elamumajanduse arendamine, sh:</t>
  </si>
  <si>
    <t>Veevarustus, sh:</t>
  </si>
  <si>
    <t>Tänavavalgustus, sh:</t>
  </si>
  <si>
    <t>Muud kommunaalteenused, sh:</t>
  </si>
  <si>
    <t>Vaba aeg ja kultuur, sh:</t>
  </si>
  <si>
    <t>Tervishoid, sh:</t>
  </si>
  <si>
    <t>Põetusvahendid, sh:</t>
  </si>
  <si>
    <t>Üldmeditsiiniteenused, sh</t>
  </si>
  <si>
    <t>Hooldusravi, sh:</t>
  </si>
  <si>
    <t>Avalikud tervishoiuteenused, sh:</t>
  </si>
  <si>
    <t>Spordibaasid, sh:</t>
  </si>
  <si>
    <t>Puhkepargid, sh:</t>
  </si>
  <si>
    <t>Laste huvialamajad ja keskused, sh:</t>
  </si>
  <si>
    <t>Noorsootöö, sh:</t>
  </si>
  <si>
    <t>Täiskasvanute huvialaasutused, sh:</t>
  </si>
  <si>
    <t>Teatrid, sh:</t>
  </si>
  <si>
    <t>Noorsoo- ja spordiprojektid, sh:</t>
  </si>
  <si>
    <t>Raamatukogud, sh:</t>
  </si>
  <si>
    <t>Rahva- ja kultuurimajad, sh:</t>
  </si>
  <si>
    <t>Muuseumid, sh:</t>
  </si>
  <si>
    <t>Kontsertorganisatsioonid, sh:</t>
  </si>
  <si>
    <t>Muinsuskaitse, sh:</t>
  </si>
  <si>
    <t>Kultuuriüritused, sh:</t>
  </si>
  <si>
    <t>Seltsitegevus, sh:</t>
  </si>
  <si>
    <t>Botaanikaaed, sh:</t>
  </si>
  <si>
    <t>Kirjastused, sh:</t>
  </si>
  <si>
    <t>Muu vabaaeg ja kultuur, sh:</t>
  </si>
  <si>
    <t>Haridus, sh:</t>
  </si>
  <si>
    <t>Koolieelsed lasteasutused, sh:</t>
  </si>
  <si>
    <t>Põhikoolid, sh:</t>
  </si>
  <si>
    <t>Gümnaasiumid, sh:</t>
  </si>
  <si>
    <t>Täiskasvanute gümnaasiumid, sh:</t>
  </si>
  <si>
    <t>Kutseharidus, sh:</t>
  </si>
  <si>
    <t>Kõrgharidus, sh:</t>
  </si>
  <si>
    <t>Hälviklaste koolid, sh:</t>
  </si>
  <si>
    <t>Hariduse abiteenused, sh</t>
  </si>
  <si>
    <t>Muu haridus, sh:</t>
  </si>
  <si>
    <t>Muu puuetega inimeste sotsiaalne kaitse, sh:</t>
  </si>
  <si>
    <t>Eakate sotsiaalhoolekande asutused, sh:</t>
  </si>
  <si>
    <t>Muu eakate sotsiaalne kaitse</t>
  </si>
  <si>
    <t>Muu perede ja laste sotsiaalne kaitse, sh:</t>
  </si>
  <si>
    <t>Töötute sotsiaalne kaitse, sh:</t>
  </si>
  <si>
    <t>Muu sotsiaalsete riskirühmade kaitse, sh:</t>
  </si>
  <si>
    <t>Muu sotsiaalne kaitse, sh:</t>
  </si>
  <si>
    <t>Reklaamimaks</t>
  </si>
  <si>
    <t>Teede ja tänavate sulgemise maks</t>
  </si>
  <si>
    <t>Parkimistasu</t>
  </si>
  <si>
    <t>Füüsilise isiku tulumaks</t>
  </si>
  <si>
    <t>Maamaks</t>
  </si>
  <si>
    <t>Riigilõivud</t>
  </si>
  <si>
    <t>Üür ja rent</t>
  </si>
  <si>
    <t>Õiguste müük</t>
  </si>
  <si>
    <t>Muu toodete ja teenuste müük</t>
  </si>
  <si>
    <t>Avalik kord</t>
  </si>
  <si>
    <t>Tervishoid</t>
  </si>
  <si>
    <t>Saadud toetused põhitegevuse kuludeks</t>
  </si>
  <si>
    <t>Saadud mittesihtotstarbelised toetused</t>
  </si>
  <si>
    <t>Trahvid</t>
  </si>
  <si>
    <t>Saastetasud</t>
  </si>
  <si>
    <t>Laekumised vee erikasutusest</t>
  </si>
  <si>
    <t>Intressi- ja viivisetulud</t>
  </si>
  <si>
    <t>Maa müük</t>
  </si>
  <si>
    <t>Põhivara soetuseks saadav sihtfinantseerimine</t>
  </si>
  <si>
    <t>Kohustuste võtmine</t>
  </si>
  <si>
    <t>Kohustus</t>
  </si>
  <si>
    <t>Riigi Kinnisvara AS leping</t>
  </si>
  <si>
    <t>Liisingud</t>
  </si>
  <si>
    <t>PÕHITEGEVUSE KULUD KOKKU, sh:</t>
  </si>
  <si>
    <t>Investeerimistegevuse kulud objektide ja finantseerimisallikate lõikes</t>
  </si>
  <si>
    <t xml:space="preserve">Võlakohustuse  kogumaht kehtiva lepingu järgi </t>
  </si>
  <si>
    <t>TEGEVUSALADE  JA MAJANDUSLIKU SISU JÄRGI</t>
  </si>
  <si>
    <t>Tulud haridusalasest tegevusest</t>
  </si>
  <si>
    <t>Tulud kultuuri- ja kunstialasest tegevusest</t>
  </si>
  <si>
    <t>Tulud spordi- ja puhkealasest tegevusest</t>
  </si>
  <si>
    <t>Tulud sotsiaalabialasest tegevusest</t>
  </si>
  <si>
    <t>Tulud keskkonnaalasest tegevusest</t>
  </si>
  <si>
    <t>Üldvalitsemise tulud</t>
  </si>
  <si>
    <t>Tulud transporditegevusest</t>
  </si>
  <si>
    <t>Kohustuste võtmine (+)</t>
  </si>
  <si>
    <t>Kohustuste tasumine (-)</t>
  </si>
  <si>
    <t>* eelarvete kinnitamisel näidatakse lisas vaid väärtust omavad tululiigid ja vajadusel võib eelarvetega loetelu täiendada</t>
  </si>
  <si>
    <t>Põhivara müük</t>
  </si>
  <si>
    <t>Finantstulud</t>
  </si>
  <si>
    <t>Võlakirjade emiteerimine</t>
  </si>
  <si>
    <t>Raha ja pangakontode saldo muutus</t>
  </si>
  <si>
    <t>tegevusala nimetus*</t>
  </si>
  <si>
    <t>* eelarvete kinnitamisel näidatakse lisas vaid väärtust omavad tegevusalad ja vajadusel võib eelarvetega loetelu täiendada</t>
  </si>
  <si>
    <t>TARTU LINNA 2013. a 
 KOONDEELARVE</t>
  </si>
  <si>
    <t xml:space="preserve">     muud tegevuskulud</t>
  </si>
  <si>
    <t xml:space="preserve">     antavad toetused</t>
  </si>
  <si>
    <r>
      <t>LIKVIIDSETE VARADE MUUTUS</t>
    </r>
    <r>
      <rPr>
        <sz val="11"/>
        <rFont val="Times New Roman"/>
        <family val="1"/>
        <charset val="186"/>
      </rPr>
      <t xml:space="preserve">
suurenemine (+), vähenemine (-)</t>
    </r>
  </si>
  <si>
    <t>Personaliteenused (õppelaenude kustutamine), sh:</t>
  </si>
  <si>
    <t>PVS</t>
  </si>
  <si>
    <t>FK</t>
  </si>
  <si>
    <t>ASF</t>
  </si>
  <si>
    <t>Linna laenude teenindamine</t>
  </si>
  <si>
    <r>
      <t xml:space="preserve">   </t>
    </r>
    <r>
      <rPr>
        <b/>
        <i/>
        <sz val="11"/>
        <rFont val="Times New Roman"/>
        <family val="1"/>
        <charset val="186"/>
      </rPr>
      <t>Valitssusektori võla teenindamine</t>
    </r>
  </si>
  <si>
    <r>
      <t xml:space="preserve">   </t>
    </r>
    <r>
      <rPr>
        <b/>
        <i/>
        <sz val="11"/>
        <rFont val="Times New Roman"/>
        <family val="1"/>
        <charset val="186"/>
      </rPr>
      <t>Maakorraldus</t>
    </r>
  </si>
  <si>
    <t>Linnale vajaliku maa soetamine</t>
  </si>
  <si>
    <t>Tartu idapoolse ringtee ehitamine</t>
  </si>
  <si>
    <t>Emajõe kaldakindlustuse rekonstrueerimine ja jõeäärsete teede korrastamine</t>
  </si>
  <si>
    <t>Kruusakattega tänavate asfalteerimine</t>
  </si>
  <si>
    <t>Ülekatted ja pindamised</t>
  </si>
  <si>
    <t>Kõnniteed</t>
  </si>
  <si>
    <t>Sõpruse sild</t>
  </si>
  <si>
    <t>Kroonuaia sild</t>
  </si>
  <si>
    <t>Sildade rekonstrueerimine</t>
  </si>
  <si>
    <t>Sadevee liitumistasu</t>
  </si>
  <si>
    <t>Liikluskorraldus</t>
  </si>
  <si>
    <t>Infrastruktuuri arenduste kompensatsioonid</t>
  </si>
  <si>
    <t>Lõunakeskuse teed</t>
  </si>
  <si>
    <t>Oksa ja Ladva tänavad</t>
  </si>
  <si>
    <t>Kvissentali elamurajoon</t>
  </si>
  <si>
    <t>Osalemine projektis "Traffic"</t>
  </si>
  <si>
    <r>
      <t xml:space="preserve">   </t>
    </r>
    <r>
      <rPr>
        <b/>
        <i/>
        <sz val="11"/>
        <rFont val="Times New Roman"/>
        <family val="1"/>
        <charset val="186"/>
      </rPr>
      <t>Transpordikorraldus</t>
    </r>
  </si>
  <si>
    <t>Projekt“Tartu ühistranspordi juhtimis- ja kontrollsüsteemi arendamine</t>
  </si>
  <si>
    <t xml:space="preserve">   Veetransport</t>
  </si>
  <si>
    <t>Sõpruse silla paadisadam</t>
  </si>
  <si>
    <r>
      <t xml:space="preserve">   </t>
    </r>
    <r>
      <rPr>
        <b/>
        <i/>
        <sz val="11"/>
        <rFont val="Times New Roman"/>
        <family val="1"/>
        <charset val="186"/>
      </rPr>
      <t>Üldmajanduslikud arendusprojektid</t>
    </r>
  </si>
  <si>
    <t>Ettekirjutuste täitmiseks linna hoonetes</t>
  </si>
  <si>
    <t>Korteriühistute remondifond</t>
  </si>
  <si>
    <t>Tampere Maja Jaani 4</t>
  </si>
  <si>
    <r>
      <t xml:space="preserve">   </t>
    </r>
    <r>
      <rPr>
        <b/>
        <i/>
        <sz val="11"/>
        <rFont val="Times New Roman"/>
        <family val="1"/>
        <charset val="186"/>
      </rPr>
      <t>Jäätmekäitlus</t>
    </r>
  </si>
  <si>
    <t>Kortermajade jäätmemajanduse korrastamine</t>
  </si>
  <si>
    <r>
      <t xml:space="preserve">   </t>
    </r>
    <r>
      <rPr>
        <b/>
        <i/>
        <sz val="11"/>
        <rFont val="Times New Roman"/>
        <family val="1"/>
        <charset val="186"/>
      </rPr>
      <t>Haljastus</t>
    </r>
  </si>
  <si>
    <t>Projekt“Green Man“</t>
  </si>
  <si>
    <t>Mänguväljaku rajamine</t>
  </si>
  <si>
    <t>Korterite ost elanike ümberpaigutamiseks</t>
  </si>
  <si>
    <t>Ohtlike tänavavalgustusmastide vahetus</t>
  </si>
  <si>
    <t xml:space="preserve">  Muu elamu- ja kommunaaltegevus</t>
  </si>
  <si>
    <t>Rahumäe kalmistu kontorihoone katuse remont</t>
  </si>
  <si>
    <t>Asutusele Kalmistu liivapuisturi soetus</t>
  </si>
  <si>
    <r>
      <t xml:space="preserve">   </t>
    </r>
    <r>
      <rPr>
        <b/>
        <i/>
        <sz val="11"/>
        <rFont val="Times New Roman"/>
        <family val="1"/>
        <charset val="186"/>
      </rPr>
      <t>Laste huvikoolid</t>
    </r>
  </si>
  <si>
    <r>
      <t xml:space="preserve">   </t>
    </r>
    <r>
      <rPr>
        <b/>
        <i/>
        <sz val="11"/>
        <rFont val="Times New Roman"/>
        <family val="1"/>
        <charset val="186"/>
      </rPr>
      <t>Raamatukogud</t>
    </r>
  </si>
  <si>
    <t>Toetus SAle Tartu Pauluse Kirik kiriku renoveerimiseks</t>
  </si>
  <si>
    <t>Restaureerimise toetused</t>
  </si>
  <si>
    <t>Ventilatsioonide korrastamine lasteaedade köökides</t>
  </si>
  <si>
    <t>Toetus EELK Tartu Peetri Kogudusele ajaloolise koolimaja taastamise projekteerimiseks</t>
  </si>
  <si>
    <t>Miina Härma Gümnaasiumile koopiamasina soetus</t>
  </si>
  <si>
    <r>
      <t xml:space="preserve">   </t>
    </r>
    <r>
      <rPr>
        <b/>
        <i/>
        <sz val="11"/>
        <rFont val="Times New Roman"/>
        <family val="1"/>
        <charset val="186"/>
      </rPr>
      <t>Täiskasvanute Gümnaasium</t>
    </r>
  </si>
  <si>
    <t>Nooruse 9 ost</t>
  </si>
  <si>
    <r>
      <t xml:space="preserve">   </t>
    </r>
    <r>
      <rPr>
        <b/>
        <i/>
        <sz val="11"/>
        <rFont val="Times New Roman"/>
        <family val="1"/>
        <charset val="186"/>
      </rPr>
      <t>Kutseõppeasutused</t>
    </r>
  </si>
  <si>
    <r>
      <t xml:space="preserve">   </t>
    </r>
    <r>
      <rPr>
        <b/>
        <i/>
        <sz val="11"/>
        <rFont val="Times New Roman"/>
        <family val="1"/>
        <charset val="186"/>
      </rPr>
      <t>Eakate hoolekande asutused</t>
    </r>
  </si>
  <si>
    <t>Hooldekodule köögiseadmete soetus</t>
  </si>
  <si>
    <t xml:space="preserve">   Muud riskirühmade sotsiaalhoolekande
   asutused </t>
  </si>
  <si>
    <t>Tegevusala ja investeerimisobjekti nimetus</t>
  </si>
  <si>
    <t>tegevus-
ala
kood</t>
  </si>
  <si>
    <t>01</t>
  </si>
  <si>
    <t>01111</t>
  </si>
  <si>
    <t>01112</t>
  </si>
  <si>
    <t>01114</t>
  </si>
  <si>
    <t>01310</t>
  </si>
  <si>
    <t>01330</t>
  </si>
  <si>
    <t>01600</t>
  </si>
  <si>
    <t>03</t>
  </si>
  <si>
    <t>03100</t>
  </si>
  <si>
    <t>03600</t>
  </si>
  <si>
    <t>04</t>
  </si>
  <si>
    <t>04210</t>
  </si>
  <si>
    <t>04510</t>
  </si>
  <si>
    <t>04512</t>
  </si>
  <si>
    <t>04540</t>
  </si>
  <si>
    <t>04730</t>
  </si>
  <si>
    <t>04740</t>
  </si>
  <si>
    <t>04900</t>
  </si>
  <si>
    <t>05</t>
  </si>
  <si>
    <t>05100</t>
  </si>
  <si>
    <t>05200</t>
  </si>
  <si>
    <t>05400</t>
  </si>
  <si>
    <t>05600</t>
  </si>
  <si>
    <t>06</t>
  </si>
  <si>
    <t>06100</t>
  </si>
  <si>
    <t>06300</t>
  </si>
  <si>
    <t>06400</t>
  </si>
  <si>
    <t>06605</t>
  </si>
  <si>
    <t>07</t>
  </si>
  <si>
    <t>07120</t>
  </si>
  <si>
    <t>07210</t>
  </si>
  <si>
    <t>07340</t>
  </si>
  <si>
    <t>07400</t>
  </si>
  <si>
    <t>08</t>
  </si>
  <si>
    <t>Muud eespool nimetamata tulud</t>
  </si>
  <si>
    <t>Olemasolevate valgustite asendamine  LED ja säästuseadmetega valgustitega</t>
  </si>
  <si>
    <t>Õhuliinide rekonstrueerimise ühisprojektid AS-ga Eesti Energia</t>
  </si>
  <si>
    <t>Riigi Kinnisvara ASile (H. Masingu Kooli ja J. Poska Gümnaasiumi) intressid</t>
  </si>
  <si>
    <t>Amortiseerunud telemeetriaseadmete väljavahetamine</t>
  </si>
  <si>
    <t>Tartu Loodusmaja (Lille 10)</t>
  </si>
  <si>
    <t xml:space="preserve">Anne Noortekeskus (Uus 56) </t>
  </si>
  <si>
    <t>O. Lutsu Keskraaamtukogu (Kompanii 3/5)</t>
  </si>
  <si>
    <t xml:space="preserve">O. Lutsu Keskraaamtukogule dataprojektorite soetamine </t>
  </si>
  <si>
    <t xml:space="preserve">   Muinsuskaitse</t>
  </si>
  <si>
    <t>Lasteaed Kelluke (Kaunase pst 69)</t>
  </si>
  <si>
    <t>Lasteaed Meelespea (Ilmatsalu 24a)</t>
  </si>
  <si>
    <t>Lasteaed Ristikheina (Ropka tee 25)</t>
  </si>
  <si>
    <t>Lasteaed Rukkilill (Sepa 18)</t>
  </si>
  <si>
    <t>M. Reiniku Kool (Riia 25)</t>
  </si>
  <si>
    <t xml:space="preserve">M. Reiniku Kool (Vanemuise 48) </t>
  </si>
  <si>
    <t>Raatuse Gümnaasium (Raatuse 88a)</t>
  </si>
  <si>
    <t>Descartes1i Lütseum (Anne 65)</t>
  </si>
  <si>
    <t>Kunstigümnaasium (Aianduse 4)</t>
  </si>
  <si>
    <t>Vene Lütseum (Uus 54)</t>
  </si>
  <si>
    <t>Nooruse 9 rekonstrueerimise projekteerimine ja remont</t>
  </si>
  <si>
    <t>Haridusasutuste rekonstrueerimistööde projekteerimised</t>
  </si>
  <si>
    <t>Kutsehariduskeskus (Põllu 11)</t>
  </si>
  <si>
    <t>Laste ja noorte sotsiaalhoolekande asutused, sh:</t>
  </si>
  <si>
    <t>Riskirühmade sotsiaalhoolekande asutused, sh:</t>
  </si>
  <si>
    <t>Riiklik toimetulekutoetus, sh:</t>
  </si>
  <si>
    <t>Puuetega inimeste sotsiaalhoolekande asutused,sh:</t>
  </si>
  <si>
    <t>2013.a  tasumisele kuuluv kohustus</t>
  </si>
  <si>
    <t>TARTU LINNA 2013. a EELARVE FINANTSEERIMISTEGEVUSE KULUD (eurodes)</t>
  </si>
  <si>
    <t xml:space="preserve">Uus võlakirjaemissioon </t>
  </si>
  <si>
    <t>Tamme Gümnaasium (Tamme pst 24a)</t>
  </si>
  <si>
    <t>TARTU LINNA 2013. a EELARVE INVESTEERIMISTEGEVUSE KULUD</t>
  </si>
  <si>
    <t>TARTU LINNA 2013. a PÕHITEGEVUSE KULUD</t>
  </si>
  <si>
    <t>08102</t>
  </si>
  <si>
    <t>08103</t>
  </si>
  <si>
    <t>08105</t>
  </si>
  <si>
    <t>08106</t>
  </si>
  <si>
    <t>08107</t>
  </si>
  <si>
    <t>08108</t>
  </si>
  <si>
    <t>08109</t>
  </si>
  <si>
    <t>08201</t>
  </si>
  <si>
    <t>08202</t>
  </si>
  <si>
    <t>08203</t>
  </si>
  <si>
    <t>08204</t>
  </si>
  <si>
    <t>08206</t>
  </si>
  <si>
    <t>08207</t>
  </si>
  <si>
    <t>08208</t>
  </si>
  <si>
    <t>08209</t>
  </si>
  <si>
    <t>08211</t>
  </si>
  <si>
    <t>08300</t>
  </si>
  <si>
    <t>08600</t>
  </si>
  <si>
    <t>09</t>
  </si>
  <si>
    <t>09110</t>
  </si>
  <si>
    <t>09220</t>
  </si>
  <si>
    <t>09212</t>
  </si>
  <si>
    <t>09221</t>
  </si>
  <si>
    <t>09222</t>
  </si>
  <si>
    <t>09400</t>
  </si>
  <si>
    <t>09500</t>
  </si>
  <si>
    <t>09601</t>
  </si>
  <si>
    <t>09800</t>
  </si>
  <si>
    <t>Laste huvikoolid, sh:</t>
  </si>
  <si>
    <t>Svensk Exportkredit AB</t>
  </si>
  <si>
    <t>Depfa Bank</t>
  </si>
  <si>
    <t>Swedbank</t>
  </si>
  <si>
    <t xml:space="preserve">Nordea Pank               </t>
  </si>
  <si>
    <t xml:space="preserve">SEB Pank </t>
  </si>
  <si>
    <t>TARTU LINNA 2013. a EELARVE</t>
  </si>
  <si>
    <t>Võlakohustuse 
jääk 
01.01.2013</t>
  </si>
  <si>
    <t>Võlakohustuse
 jääk 
31.12.2013</t>
  </si>
  <si>
    <t xml:space="preserve">Toetus SA-le Tartu Teaduspark infrastruktuuri arendamiseks </t>
  </si>
  <si>
    <t>TÜ spordihoone renoveerimise toetus</t>
  </si>
  <si>
    <t>EMÜ spordihoone ehitamise toetus</t>
  </si>
  <si>
    <t>OÜ Anne Saun (Anne 44)</t>
  </si>
  <si>
    <t>Omanikutulud (Dividendid)</t>
  </si>
  <si>
    <t>Linnavarade osakonna ametiauto liisingu intressid</t>
  </si>
  <si>
    <t>Raamatukogu väikebussi liisingu intressid</t>
  </si>
  <si>
    <t>Maarja kooli bussi liisingu intressid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</si>
</sst>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0"/>
      <name val="Arial"/>
    </font>
    <font>
      <b/>
      <sz val="10"/>
      <name val="Arial"/>
      <family val="2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i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b/>
      <i/>
      <sz val="11"/>
      <color indexed="10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1.5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8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Fill="1" applyBorder="1"/>
    <xf numFmtId="0" fontId="4" fillId="0" borderId="0" xfId="0" applyFont="1"/>
    <xf numFmtId="3" fontId="3" fillId="0" borderId="2" xfId="0" applyNumberFormat="1" applyFont="1" applyBorder="1"/>
    <xf numFmtId="3" fontId="4" fillId="0" borderId="2" xfId="0" applyNumberFormat="1" applyFont="1" applyBorder="1"/>
    <xf numFmtId="0" fontId="5" fillId="0" borderId="0" xfId="0" applyFont="1"/>
    <xf numFmtId="3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3" fillId="0" borderId="3" xfId="0" applyFont="1" applyBorder="1"/>
    <xf numFmtId="3" fontId="3" fillId="0" borderId="3" xfId="0" applyNumberFormat="1" applyFont="1" applyBorder="1"/>
    <xf numFmtId="0" fontId="3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6" fillId="0" borderId="0" xfId="0" applyFont="1"/>
    <xf numFmtId="3" fontId="3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0" xfId="0" applyNumberFormat="1" applyFont="1"/>
    <xf numFmtId="0" fontId="4" fillId="0" borderId="0" xfId="0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4" fillId="0" borderId="0" xfId="0" applyFont="1" applyFill="1" applyAlignment="1"/>
    <xf numFmtId="164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/>
    <xf numFmtId="3" fontId="4" fillId="0" borderId="2" xfId="0" applyNumberFormat="1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3" fontId="4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wrapText="1"/>
    </xf>
    <xf numFmtId="49" fontId="7" fillId="0" borderId="2" xfId="0" applyNumberFormat="1" applyFont="1" applyFill="1" applyBorder="1" applyAlignment="1">
      <alignment wrapText="1"/>
    </xf>
    <xf numFmtId="49" fontId="4" fillId="0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3" fontId="8" fillId="0" borderId="2" xfId="0" applyNumberFormat="1" applyFont="1" applyFill="1" applyBorder="1"/>
    <xf numFmtId="3" fontId="7" fillId="0" borderId="2" xfId="0" applyNumberFormat="1" applyFont="1" applyFill="1" applyBorder="1"/>
    <xf numFmtId="3" fontId="9" fillId="0" borderId="2" xfId="0" applyNumberFormat="1" applyFont="1" applyFill="1" applyBorder="1"/>
    <xf numFmtId="0" fontId="9" fillId="0" borderId="2" xfId="0" applyFont="1" applyFill="1" applyBorder="1" applyAlignment="1">
      <alignment wrapText="1"/>
    </xf>
    <xf numFmtId="3" fontId="10" fillId="0" borderId="2" xfId="0" applyNumberFormat="1" applyFont="1" applyFill="1" applyBorder="1"/>
    <xf numFmtId="3" fontId="11" fillId="0" borderId="2" xfId="0" applyNumberFormat="1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Alignment="1">
      <alignment wrapText="1"/>
    </xf>
    <xf numFmtId="3" fontId="4" fillId="0" borderId="2" xfId="0" applyNumberFormat="1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12" fillId="0" borderId="2" xfId="0" applyFont="1" applyBorder="1" applyAlignment="1"/>
    <xf numFmtId="0" fontId="13" fillId="0" borderId="2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wrapText="1"/>
    </xf>
    <xf numFmtId="49" fontId="14" fillId="0" borderId="2" xfId="0" applyNumberFormat="1" applyFont="1" applyFill="1" applyBorder="1" applyAlignment="1">
      <alignment wrapText="1"/>
    </xf>
    <xf numFmtId="49" fontId="12" fillId="0" borderId="2" xfId="0" applyNumberFormat="1" applyFon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15" fillId="0" borderId="2" xfId="0" applyFont="1" applyFill="1" applyBorder="1" applyAlignment="1">
      <alignment wrapText="1"/>
    </xf>
    <xf numFmtId="3" fontId="7" fillId="2" borderId="2" xfId="0" applyNumberFormat="1" applyFont="1" applyFill="1" applyBorder="1"/>
    <xf numFmtId="0" fontId="4" fillId="0" borderId="2" xfId="0" applyFont="1" applyBorder="1" applyAlignment="1">
      <alignment horizontal="left" wrapText="1"/>
    </xf>
    <xf numFmtId="0" fontId="4" fillId="0" borderId="2" xfId="1" applyFont="1" applyBorder="1" applyAlignment="1">
      <alignment wrapText="1"/>
    </xf>
    <xf numFmtId="0" fontId="4" fillId="0" borderId="2" xfId="1" applyFont="1" applyBorder="1" applyAlignment="1">
      <alignment horizontal="left" wrapText="1"/>
    </xf>
    <xf numFmtId="0" fontId="16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7" fillId="0" borderId="2" xfId="0" applyFont="1" applyFill="1" applyBorder="1"/>
    <xf numFmtId="3" fontId="4" fillId="0" borderId="5" xfId="0" applyNumberFormat="1" applyFont="1" applyBorder="1"/>
    <xf numFmtId="0" fontId="4" fillId="0" borderId="1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/>
    </xf>
    <xf numFmtId="0" fontId="4" fillId="0" borderId="5" xfId="0" applyFont="1" applyBorder="1"/>
    <xf numFmtId="0" fontId="4" fillId="0" borderId="4" xfId="0" applyFont="1" applyBorder="1"/>
    <xf numFmtId="3" fontId="4" fillId="0" borderId="4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0" fontId="4" fillId="0" borderId="6" xfId="0" applyFont="1" applyBorder="1"/>
    <xf numFmtId="3" fontId="3" fillId="0" borderId="6" xfId="0" applyNumberFormat="1" applyFont="1" applyBorder="1"/>
    <xf numFmtId="3" fontId="4" fillId="0" borderId="6" xfId="0" applyNumberFormat="1" applyFont="1" applyBorder="1"/>
    <xf numFmtId="0" fontId="3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horizontal="right"/>
    </xf>
    <xf numFmtId="0" fontId="17" fillId="0" borderId="2" xfId="0" applyFont="1" applyBorder="1"/>
    <xf numFmtId="3" fontId="3" fillId="0" borderId="2" xfId="0" applyNumberFormat="1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2" xfId="0" quotePrefix="1" applyFont="1" applyBorder="1" applyAlignment="1">
      <alignment horizontal="left"/>
    </xf>
    <xf numFmtId="0" fontId="4" fillId="0" borderId="2" xfId="0" quotePrefix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Border="1" applyAlignment="1"/>
    <xf numFmtId="0" fontId="4" fillId="0" borderId="0" xfId="0" applyFont="1" applyAlignment="1"/>
  </cellXfs>
  <cellStyles count="2">
    <cellStyle name="Normaallaad_Leht1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A15" sqref="A15"/>
    </sheetView>
  </sheetViews>
  <sheetFormatPr defaultRowHeight="12.75"/>
  <cols>
    <col min="1" max="1" width="47.140625" customWidth="1"/>
    <col min="2" max="2" width="14" customWidth="1"/>
    <col min="4" max="4" width="9.7109375" bestFit="1" customWidth="1"/>
  </cols>
  <sheetData>
    <row r="1" spans="1:2" ht="28.5" customHeight="1">
      <c r="A1" s="104" t="s">
        <v>167</v>
      </c>
      <c r="B1" s="105"/>
    </row>
    <row r="2" spans="1:2" ht="15">
      <c r="A2" s="9"/>
      <c r="B2" s="9"/>
    </row>
    <row r="3" spans="1:2" ht="15">
      <c r="A3" s="102"/>
      <c r="B3" s="103" t="s">
        <v>37</v>
      </c>
    </row>
    <row r="4" spans="1:2" ht="14.25">
      <c r="A4" s="83" t="s">
        <v>27</v>
      </c>
      <c r="B4" s="84">
        <f>SUM(B5:B8)</f>
        <v>98378333</v>
      </c>
    </row>
    <row r="5" spans="1:2" ht="15">
      <c r="A5" s="81" t="s">
        <v>0</v>
      </c>
      <c r="B5" s="82">
        <f>'lisa 2 (Tulubaas)'!B6</f>
        <v>53472700</v>
      </c>
    </row>
    <row r="6" spans="1:2" ht="15">
      <c r="A6" s="6" t="s">
        <v>1</v>
      </c>
      <c r="B6" s="11">
        <f>'lisa 2 (Tulubaas)'!B12</f>
        <v>14208273</v>
      </c>
    </row>
    <row r="7" spans="1:2" ht="15">
      <c r="A7" s="6" t="s">
        <v>28</v>
      </c>
      <c r="B7" s="11">
        <f>'lisa 2 (Tulubaas)'!B24</f>
        <v>30368060</v>
      </c>
    </row>
    <row r="8" spans="1:2" ht="15">
      <c r="A8" s="6" t="s">
        <v>29</v>
      </c>
      <c r="B8" s="11">
        <f>'lisa 2 (Tulubaas)'!B27</f>
        <v>329300</v>
      </c>
    </row>
    <row r="9" spans="1:2" ht="15">
      <c r="A9" s="80"/>
      <c r="B9" s="77"/>
    </row>
    <row r="10" spans="1:2" ht="14.25">
      <c r="A10" s="83" t="s">
        <v>30</v>
      </c>
      <c r="B10" s="84">
        <f>SUM(B11:B19)</f>
        <v>92957201</v>
      </c>
    </row>
    <row r="11" spans="1:2" ht="15">
      <c r="A11" s="81" t="s">
        <v>2</v>
      </c>
      <c r="B11" s="82">
        <f>'lisa 3 (põhitegevus)'!C8</f>
        <v>8157684</v>
      </c>
    </row>
    <row r="12" spans="1:2" ht="15">
      <c r="A12" s="6" t="s">
        <v>133</v>
      </c>
      <c r="B12" s="11">
        <f>'lisa 3 (põhitegevus)'!C24</f>
        <v>271172</v>
      </c>
    </row>
    <row r="13" spans="1:2" ht="15">
      <c r="A13" s="6" t="s">
        <v>3</v>
      </c>
      <c r="B13" s="11">
        <f>'lisa 3 (põhitegevus)'!C32</f>
        <v>10936430</v>
      </c>
    </row>
    <row r="14" spans="1:2" ht="15">
      <c r="A14" s="6" t="s">
        <v>4</v>
      </c>
      <c r="B14" s="11">
        <f>'lisa 3 (põhitegevus)'!C52</f>
        <v>5580101</v>
      </c>
    </row>
    <row r="15" spans="1:2" ht="15">
      <c r="A15" s="6" t="s">
        <v>5</v>
      </c>
      <c r="B15" s="11">
        <f>'lisa 3 (põhitegevus)'!C65</f>
        <v>2155274</v>
      </c>
    </row>
    <row r="16" spans="1:2" ht="15">
      <c r="A16" s="6" t="s">
        <v>134</v>
      </c>
      <c r="B16" s="11">
        <f>'lisa 3 (põhitegevus)'!C75</f>
        <v>402827</v>
      </c>
    </row>
    <row r="17" spans="1:2" ht="15">
      <c r="A17" s="6" t="s">
        <v>11</v>
      </c>
      <c r="B17" s="11">
        <f>'lisa 3 (põhitegevus)'!C88</f>
        <v>7431036</v>
      </c>
    </row>
    <row r="18" spans="1:2" ht="15">
      <c r="A18" s="6" t="s">
        <v>6</v>
      </c>
      <c r="B18" s="11">
        <f>'lisa 3 (põhitegevus)'!C135</f>
        <v>49640839</v>
      </c>
    </row>
    <row r="19" spans="1:2" ht="15">
      <c r="A19" s="6" t="s">
        <v>7</v>
      </c>
      <c r="B19" s="11">
        <f>'lisa 3 (põhitegevus)'!C159</f>
        <v>8381838</v>
      </c>
    </row>
    <row r="20" spans="1:2" ht="15">
      <c r="A20" s="80"/>
      <c r="B20" s="77"/>
    </row>
    <row r="21" spans="1:2" ht="14.25">
      <c r="A21" s="83" t="s">
        <v>31</v>
      </c>
      <c r="B21" s="84">
        <f>SUM(B22:B24)</f>
        <v>30769981</v>
      </c>
    </row>
    <row r="22" spans="1:2" ht="15">
      <c r="A22" s="81" t="s">
        <v>161</v>
      </c>
      <c r="B22" s="82">
        <f>'lisa 2 (Tulubaas)'!B34</f>
        <v>673269</v>
      </c>
    </row>
    <row r="23" spans="1:2" ht="15">
      <c r="A23" s="8" t="s">
        <v>142</v>
      </c>
      <c r="B23" s="11">
        <f>'lisa 2 (Tulubaas)'!B37</f>
        <v>29485712</v>
      </c>
    </row>
    <row r="24" spans="1:2" ht="15">
      <c r="A24" s="6" t="s">
        <v>162</v>
      </c>
      <c r="B24" s="11">
        <f>'lisa 2 (Tulubaas)'!B38</f>
        <v>611000</v>
      </c>
    </row>
    <row r="25" spans="1:2" ht="15">
      <c r="A25" s="80"/>
      <c r="B25" s="77"/>
    </row>
    <row r="26" spans="1:2" ht="14.25">
      <c r="A26" s="83" t="s">
        <v>32</v>
      </c>
      <c r="B26" s="84">
        <f>SUM(B27:B33)</f>
        <v>42848862</v>
      </c>
    </row>
    <row r="27" spans="1:2" ht="15">
      <c r="A27" s="81" t="s">
        <v>2</v>
      </c>
      <c r="B27" s="82">
        <f>'Lisa 4 (invest)'!E14</f>
        <v>1204177</v>
      </c>
    </row>
    <row r="28" spans="1:2" ht="15">
      <c r="A28" s="6" t="s">
        <v>3</v>
      </c>
      <c r="B28" s="11">
        <f>'Lisa 4 (invest)'!E21</f>
        <v>31453874</v>
      </c>
    </row>
    <row r="29" spans="1:2" ht="15">
      <c r="A29" s="6" t="s">
        <v>4</v>
      </c>
      <c r="B29" s="11">
        <f>'Lisa 4 (invest)'!E52</f>
        <v>89000</v>
      </c>
    </row>
    <row r="30" spans="1:2" ht="15">
      <c r="A30" s="6" t="s">
        <v>5</v>
      </c>
      <c r="B30" s="11">
        <f>'Lisa 4 (invest)'!E58</f>
        <v>566500</v>
      </c>
    </row>
    <row r="31" spans="1:2" ht="15">
      <c r="A31" s="6" t="s">
        <v>11</v>
      </c>
      <c r="B31" s="11">
        <f>'Lisa 4 (invest)'!E71</f>
        <v>3357735</v>
      </c>
    </row>
    <row r="32" spans="1:2" ht="15">
      <c r="A32" s="6" t="s">
        <v>6</v>
      </c>
      <c r="B32" s="11">
        <f>'Lisa 4 (invest)'!E85</f>
        <v>6078376</v>
      </c>
    </row>
    <row r="33" spans="1:4" ht="15">
      <c r="A33" s="6" t="s">
        <v>7</v>
      </c>
      <c r="B33" s="11">
        <f>'Lisa 4 (invest)'!E114</f>
        <v>99200</v>
      </c>
    </row>
    <row r="34" spans="1:4" ht="15">
      <c r="A34" s="80"/>
      <c r="B34" s="77"/>
    </row>
    <row r="35" spans="1:4" ht="14.25">
      <c r="A35" s="88" t="s">
        <v>36</v>
      </c>
      <c r="B35" s="84">
        <f>B4-B10+B21-B26</f>
        <v>-6657749</v>
      </c>
    </row>
    <row r="36" spans="1:4" ht="15">
      <c r="A36" s="85"/>
      <c r="B36" s="86"/>
    </row>
    <row r="37" spans="1:4" ht="14.25">
      <c r="A37" s="83" t="s">
        <v>47</v>
      </c>
      <c r="B37" s="84">
        <f>SUM(B38:B39)</f>
        <v>3893149</v>
      </c>
    </row>
    <row r="38" spans="1:4" ht="15">
      <c r="A38" s="81" t="s">
        <v>158</v>
      </c>
      <c r="B38" s="82">
        <f>'lisa 2 (Tulubaas)'!B43</f>
        <v>19777548</v>
      </c>
    </row>
    <row r="39" spans="1:4" ht="15">
      <c r="A39" s="6" t="s">
        <v>159</v>
      </c>
      <c r="B39" s="11">
        <f>-15885503+1104</f>
        <v>-15884399</v>
      </c>
    </row>
    <row r="40" spans="1:4" ht="15">
      <c r="A40" s="80"/>
      <c r="B40" s="77"/>
    </row>
    <row r="41" spans="1:4" ht="30">
      <c r="A41" s="88" t="s">
        <v>170</v>
      </c>
      <c r="B41" s="84">
        <f>SUM('lisa 2 (Tulubaas)'!B46)</f>
        <v>-2764600</v>
      </c>
    </row>
    <row r="42" spans="1:4" ht="15">
      <c r="A42" s="85"/>
      <c r="B42" s="87"/>
      <c r="D42" s="1"/>
    </row>
    <row r="43" spans="1:4" ht="14.25">
      <c r="A43" s="83" t="s">
        <v>8</v>
      </c>
      <c r="B43" s="84">
        <f>B4+B21+B38-B41</f>
        <v>151690462</v>
      </c>
    </row>
    <row r="44" spans="1:4">
      <c r="B44" s="2"/>
    </row>
  </sheetData>
  <mergeCells count="1">
    <mergeCell ref="A1:B1"/>
  </mergeCells>
  <phoneticPr fontId="0" type="noConversion"/>
  <pageMargins left="1.496062992125984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&amp;RLisa 1
Tartu Linnavolikogu
20.12.2012. a määruse
 nr 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showZeros="0" workbookViewId="0">
      <selection activeCell="D45" sqref="D45"/>
    </sheetView>
  </sheetViews>
  <sheetFormatPr defaultRowHeight="14.25"/>
  <cols>
    <col min="1" max="1" width="44.85546875" style="12" customWidth="1"/>
    <col min="2" max="2" width="14.7109375" style="12" customWidth="1"/>
    <col min="3" max="16384" width="9.140625" style="12"/>
  </cols>
  <sheetData>
    <row r="1" spans="1:2" ht="15">
      <c r="A1" s="105" t="s">
        <v>328</v>
      </c>
      <c r="B1" s="105"/>
    </row>
    <row r="2" spans="1:2" ht="15">
      <c r="A2" s="105" t="s">
        <v>9</v>
      </c>
      <c r="B2" s="105"/>
    </row>
    <row r="3" spans="1:2" ht="15">
      <c r="A3" s="9"/>
      <c r="B3" s="13"/>
    </row>
    <row r="4" spans="1:2" ht="15">
      <c r="A4" s="14"/>
      <c r="B4" s="15" t="s">
        <v>37</v>
      </c>
    </row>
    <row r="5" spans="1:2" ht="19.5" customHeight="1">
      <c r="A5" s="16" t="s">
        <v>33</v>
      </c>
      <c r="B5" s="17">
        <f>SUM(B6,B12,B24,B27)</f>
        <v>98378333</v>
      </c>
    </row>
    <row r="6" spans="1:2">
      <c r="A6" s="3" t="s">
        <v>0</v>
      </c>
      <c r="B6" s="10">
        <f>SUM(B7:B11)</f>
        <v>53472700</v>
      </c>
    </row>
    <row r="7" spans="1:2" ht="15">
      <c r="A7" s="6" t="s">
        <v>127</v>
      </c>
      <c r="B7" s="11">
        <v>52030000</v>
      </c>
    </row>
    <row r="8" spans="1:2" ht="15">
      <c r="A8" s="6" t="s">
        <v>128</v>
      </c>
      <c r="B8" s="11">
        <v>682700</v>
      </c>
    </row>
    <row r="9" spans="1:2" ht="15">
      <c r="A9" s="6" t="s">
        <v>124</v>
      </c>
      <c r="B9" s="11">
        <v>290000</v>
      </c>
    </row>
    <row r="10" spans="1:2" ht="15">
      <c r="A10" s="6" t="s">
        <v>125</v>
      </c>
      <c r="B10" s="11">
        <v>100000</v>
      </c>
    </row>
    <row r="11" spans="1:2" ht="15">
      <c r="A11" s="6" t="s">
        <v>126</v>
      </c>
      <c r="B11" s="11">
        <v>370000</v>
      </c>
    </row>
    <row r="12" spans="1:2">
      <c r="A12" s="3" t="s">
        <v>1</v>
      </c>
      <c r="B12" s="10">
        <f>SUM(B13:B23)</f>
        <v>14208273</v>
      </c>
    </row>
    <row r="13" spans="1:2" ht="15">
      <c r="A13" s="6" t="s">
        <v>129</v>
      </c>
      <c r="B13" s="11">
        <v>140000</v>
      </c>
    </row>
    <row r="14" spans="1:2" ht="15">
      <c r="A14" s="7" t="s">
        <v>151</v>
      </c>
      <c r="B14" s="11">
        <v>6473855</v>
      </c>
    </row>
    <row r="15" spans="1:2" ht="15">
      <c r="A15" s="7" t="s">
        <v>152</v>
      </c>
      <c r="B15" s="11">
        <v>424910</v>
      </c>
    </row>
    <row r="16" spans="1:2" ht="15">
      <c r="A16" s="7" t="s">
        <v>153</v>
      </c>
      <c r="B16" s="11">
        <v>34017</v>
      </c>
    </row>
    <row r="17" spans="1:2" ht="15">
      <c r="A17" s="7" t="s">
        <v>154</v>
      </c>
      <c r="B17" s="11">
        <v>794330</v>
      </c>
    </row>
    <row r="18" spans="1:2" ht="15">
      <c r="A18" s="7" t="s">
        <v>155</v>
      </c>
      <c r="B18" s="11">
        <v>3500</v>
      </c>
    </row>
    <row r="19" spans="1:2" ht="15">
      <c r="A19" s="7" t="s">
        <v>156</v>
      </c>
      <c r="B19" s="11">
        <v>12700</v>
      </c>
    </row>
    <row r="20" spans="1:2" ht="15">
      <c r="A20" s="7" t="s">
        <v>157</v>
      </c>
      <c r="B20" s="11">
        <v>3500000</v>
      </c>
    </row>
    <row r="21" spans="1:2" ht="15">
      <c r="A21" s="7" t="s">
        <v>130</v>
      </c>
      <c r="B21" s="11">
        <v>2656179</v>
      </c>
    </row>
    <row r="22" spans="1:2" ht="15">
      <c r="A22" s="7" t="s">
        <v>131</v>
      </c>
      <c r="B22" s="11">
        <v>70000</v>
      </c>
    </row>
    <row r="23" spans="1:2" ht="15">
      <c r="A23" s="7" t="s">
        <v>132</v>
      </c>
      <c r="B23" s="11">
        <v>98782</v>
      </c>
    </row>
    <row r="24" spans="1:2">
      <c r="A24" s="3" t="s">
        <v>34</v>
      </c>
      <c r="B24" s="10">
        <f>SUM(B25:B26)</f>
        <v>30368060</v>
      </c>
    </row>
    <row r="25" spans="1:2" ht="15">
      <c r="A25" s="6" t="s">
        <v>135</v>
      </c>
      <c r="B25" s="11">
        <v>9024895</v>
      </c>
    </row>
    <row r="26" spans="1:2" ht="15">
      <c r="A26" s="7" t="s">
        <v>136</v>
      </c>
      <c r="B26" s="11">
        <v>21343165</v>
      </c>
    </row>
    <row r="27" spans="1:2">
      <c r="A27" s="3" t="s">
        <v>29</v>
      </c>
      <c r="B27" s="10">
        <f>SUM(B28:B31)</f>
        <v>329300</v>
      </c>
    </row>
    <row r="28" spans="1:2" ht="15">
      <c r="A28" s="7" t="s">
        <v>139</v>
      </c>
      <c r="B28" s="11">
        <v>125000</v>
      </c>
    </row>
    <row r="29" spans="1:2" ht="15">
      <c r="A29" s="6" t="s">
        <v>137</v>
      </c>
      <c r="B29" s="11">
        <v>160000</v>
      </c>
    </row>
    <row r="30" spans="1:2" ht="15">
      <c r="A30" s="6" t="s">
        <v>138</v>
      </c>
      <c r="B30" s="11">
        <v>40000</v>
      </c>
    </row>
    <row r="31" spans="1:2" ht="15">
      <c r="A31" s="6" t="s">
        <v>261</v>
      </c>
      <c r="B31" s="11">
        <v>4300</v>
      </c>
    </row>
    <row r="32" spans="1:2" ht="15">
      <c r="A32" s="7"/>
      <c r="B32" s="10"/>
    </row>
    <row r="33" spans="1:2" ht="18" customHeight="1">
      <c r="A33" s="3" t="s">
        <v>31</v>
      </c>
      <c r="B33" s="10">
        <f>SUM(B34,B37,B38)</f>
        <v>30769981</v>
      </c>
    </row>
    <row r="34" spans="1:2">
      <c r="A34" s="3" t="s">
        <v>161</v>
      </c>
      <c r="B34" s="10">
        <f>SUM(B35:B36)</f>
        <v>673269</v>
      </c>
    </row>
    <row r="35" spans="1:2" ht="15">
      <c r="A35" s="6" t="s">
        <v>141</v>
      </c>
      <c r="B35" s="11">
        <v>600000</v>
      </c>
    </row>
    <row r="36" spans="1:2" ht="15">
      <c r="A36" s="6" t="s">
        <v>49</v>
      </c>
      <c r="B36" s="11">
        <f>61250+12019</f>
        <v>73269</v>
      </c>
    </row>
    <row r="37" spans="1:2">
      <c r="A37" s="18" t="s">
        <v>142</v>
      </c>
      <c r="B37" s="10">
        <f>30076712-591000</f>
        <v>29485712</v>
      </c>
    </row>
    <row r="38" spans="1:2">
      <c r="A38" s="3" t="s">
        <v>162</v>
      </c>
      <c r="B38" s="10">
        <f>SUM(B39:B40)</f>
        <v>611000</v>
      </c>
    </row>
    <row r="39" spans="1:2" ht="15">
      <c r="A39" s="6" t="s">
        <v>140</v>
      </c>
      <c r="B39" s="11">
        <v>31000</v>
      </c>
    </row>
    <row r="40" spans="1:2" ht="15">
      <c r="A40" s="6" t="s">
        <v>335</v>
      </c>
      <c r="B40" s="11">
        <f>500000+80000</f>
        <v>580000</v>
      </c>
    </row>
    <row r="41" spans="1:2" ht="15">
      <c r="A41" s="19"/>
      <c r="B41" s="10"/>
    </row>
    <row r="42" spans="1:2">
      <c r="A42" s="53" t="s">
        <v>47</v>
      </c>
      <c r="B42" s="10">
        <f>SUM(B43)</f>
        <v>19777548</v>
      </c>
    </row>
    <row r="43" spans="1:2">
      <c r="A43" s="5" t="s">
        <v>143</v>
      </c>
      <c r="B43" s="10">
        <f>SUM(B44:B44)</f>
        <v>19777548</v>
      </c>
    </row>
    <row r="44" spans="1:2" ht="15">
      <c r="A44" s="19" t="s">
        <v>163</v>
      </c>
      <c r="B44" s="11">
        <f>300000+19477548</f>
        <v>19777548</v>
      </c>
    </row>
    <row r="45" spans="1:2" ht="15">
      <c r="A45" s="19"/>
      <c r="B45" s="10"/>
    </row>
    <row r="46" spans="1:2">
      <c r="A46" s="3" t="s">
        <v>35</v>
      </c>
      <c r="B46" s="10">
        <f>SUM(B47:B47)</f>
        <v>-2764600</v>
      </c>
    </row>
    <row r="47" spans="1:2" ht="15">
      <c r="A47" s="7" t="s">
        <v>164</v>
      </c>
      <c r="B47" s="10">
        <v>-2764600</v>
      </c>
    </row>
    <row r="48" spans="1:2" ht="15">
      <c r="A48" s="6"/>
      <c r="B48" s="10"/>
    </row>
    <row r="49" spans="1:2">
      <c r="A49" s="3" t="s">
        <v>10</v>
      </c>
      <c r="B49" s="10">
        <f>B5+B33+B42-B46</f>
        <v>151690462</v>
      </c>
    </row>
    <row r="50" spans="1:2" ht="15">
      <c r="A50" s="20"/>
      <c r="B50" s="20"/>
    </row>
    <row r="51" spans="1:2" ht="27.75" customHeight="1">
      <c r="A51" s="106" t="s">
        <v>160</v>
      </c>
      <c r="B51" s="106"/>
    </row>
  </sheetData>
  <mergeCells count="3">
    <mergeCell ref="A1:B1"/>
    <mergeCell ref="A2:B2"/>
    <mergeCell ref="A51:B51"/>
  </mergeCells>
  <phoneticPr fontId="0" type="noConversion"/>
  <pageMargins left="0.98425196850393704" right="0.74803149606299213" top="0.98425196850393704" bottom="0.98425196850393704" header="0.51181102362204722" footer="0.51181102362204722"/>
  <pageSetup paperSize="9" scale="85" orientation="portrait" horizontalDpi="300" verticalDpi="300" r:id="rId1"/>
  <headerFooter alignWithMargins="0">
    <oddHeader>&amp;RLisa 2
Tartu Linnavolikogu
20.12.2012. a määruse
nr  juurde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0"/>
  <sheetViews>
    <sheetView showZeros="0" topLeftCell="A34" zoomScaleNormal="100" workbookViewId="0">
      <selection activeCell="A4" sqref="A4"/>
    </sheetView>
  </sheetViews>
  <sheetFormatPr defaultRowHeight="15"/>
  <cols>
    <col min="1" max="1" width="8.140625" style="96" bestFit="1" customWidth="1"/>
    <col min="2" max="2" width="44.7109375" style="9" bestFit="1" customWidth="1"/>
    <col min="3" max="3" width="12.7109375" style="23" customWidth="1"/>
    <col min="4" max="4" width="14" style="9" customWidth="1"/>
    <col min="5" max="16384" width="9.140625" style="9"/>
  </cols>
  <sheetData>
    <row r="1" spans="1:3">
      <c r="B1" s="105" t="s">
        <v>293</v>
      </c>
      <c r="C1" s="105"/>
    </row>
    <row r="2" spans="1:3">
      <c r="B2" s="105" t="s">
        <v>150</v>
      </c>
      <c r="C2" s="105"/>
    </row>
    <row r="3" spans="1:3">
      <c r="C3" s="13"/>
    </row>
    <row r="4" spans="1:3" ht="45">
      <c r="A4" s="78" t="s">
        <v>226</v>
      </c>
      <c r="B4" s="14" t="s">
        <v>165</v>
      </c>
      <c r="C4" s="15" t="s">
        <v>37</v>
      </c>
    </row>
    <row r="5" spans="1:3">
      <c r="A5" s="97"/>
      <c r="B5" s="16" t="s">
        <v>147</v>
      </c>
      <c r="C5" s="79">
        <f>SUM(C6:C7)</f>
        <v>92957201</v>
      </c>
    </row>
    <row r="6" spans="1:3">
      <c r="A6" s="98"/>
      <c r="B6" s="3" t="s">
        <v>58</v>
      </c>
      <c r="C6" s="21">
        <f>SUMIF(B$9:B$202,B9,C$9:C$202)</f>
        <v>12078259</v>
      </c>
    </row>
    <row r="7" spans="1:3">
      <c r="A7" s="98"/>
      <c r="B7" s="3" t="s">
        <v>59</v>
      </c>
      <c r="C7" s="21">
        <f>SUMIF(B$10:B$202,B10,C$10:C$202)</f>
        <v>80878942</v>
      </c>
    </row>
    <row r="8" spans="1:3">
      <c r="A8" s="99" t="s">
        <v>227</v>
      </c>
      <c r="B8" s="3" t="s">
        <v>55</v>
      </c>
      <c r="C8" s="21">
        <f>SUM(C11,C13,C15,C17,C19,C21)</f>
        <v>8157684</v>
      </c>
    </row>
    <row r="9" spans="1:3">
      <c r="A9" s="98"/>
      <c r="B9" s="3" t="s">
        <v>58</v>
      </c>
      <c r="C9" s="21">
        <f>SUM(C22)</f>
        <v>70823</v>
      </c>
    </row>
    <row r="10" spans="1:3">
      <c r="A10" s="98"/>
      <c r="B10" s="3" t="s">
        <v>59</v>
      </c>
      <c r="C10" s="21">
        <f>SUM(C12,C14,C16,C18,C20,C23)</f>
        <v>8086861</v>
      </c>
    </row>
    <row r="11" spans="1:3">
      <c r="A11" s="100" t="s">
        <v>228</v>
      </c>
      <c r="B11" s="6" t="s">
        <v>62</v>
      </c>
      <c r="C11" s="22">
        <f>C12</f>
        <v>321183</v>
      </c>
    </row>
    <row r="12" spans="1:3">
      <c r="A12" s="98"/>
      <c r="B12" s="6" t="s">
        <v>168</v>
      </c>
      <c r="C12" s="22">
        <v>321183</v>
      </c>
    </row>
    <row r="13" spans="1:3">
      <c r="A13" s="100" t="s">
        <v>229</v>
      </c>
      <c r="B13" s="6" t="s">
        <v>56</v>
      </c>
      <c r="C13" s="22">
        <f>C14</f>
        <v>5996553</v>
      </c>
    </row>
    <row r="14" spans="1:3">
      <c r="A14" s="98"/>
      <c r="B14" s="6" t="s">
        <v>168</v>
      </c>
      <c r="C14" s="22">
        <f>6040477-9677-34247</f>
        <v>5996553</v>
      </c>
    </row>
    <row r="15" spans="1:3">
      <c r="A15" s="100" t="s">
        <v>230</v>
      </c>
      <c r="B15" s="6" t="s">
        <v>57</v>
      </c>
      <c r="C15" s="22">
        <f>SUM(C16)</f>
        <v>1200000</v>
      </c>
    </row>
    <row r="16" spans="1:3">
      <c r="A16" s="98"/>
      <c r="B16" s="6" t="s">
        <v>168</v>
      </c>
      <c r="C16" s="22">
        <f>1203028-3028</f>
        <v>1200000</v>
      </c>
    </row>
    <row r="17" spans="1:3">
      <c r="A17" s="100" t="s">
        <v>231</v>
      </c>
      <c r="B17" s="6" t="s">
        <v>171</v>
      </c>
      <c r="C17" s="22">
        <f>SUM(C18)</f>
        <v>222000</v>
      </c>
    </row>
    <row r="18" spans="1:3">
      <c r="A18" s="98"/>
      <c r="B18" s="6" t="s">
        <v>168</v>
      </c>
      <c r="C18" s="22">
        <v>222000</v>
      </c>
    </row>
    <row r="19" spans="1:3">
      <c r="A19" s="100" t="s">
        <v>232</v>
      </c>
      <c r="B19" s="6" t="s">
        <v>60</v>
      </c>
      <c r="C19" s="22">
        <f>SUM(C20:C20)</f>
        <v>46000</v>
      </c>
    </row>
    <row r="20" spans="1:3">
      <c r="A20" s="98"/>
      <c r="B20" s="6" t="s">
        <v>168</v>
      </c>
      <c r="C20" s="22">
        <f>78000-32000</f>
        <v>46000</v>
      </c>
    </row>
    <row r="21" spans="1:3">
      <c r="A21" s="100" t="s">
        <v>233</v>
      </c>
      <c r="B21" s="6" t="s">
        <v>61</v>
      </c>
      <c r="C21" s="22">
        <f>SUM(C22:C23)</f>
        <v>371948</v>
      </c>
    </row>
    <row r="22" spans="1:3">
      <c r="A22" s="98"/>
      <c r="B22" s="6" t="s">
        <v>169</v>
      </c>
      <c r="C22" s="22">
        <v>70823</v>
      </c>
    </row>
    <row r="23" spans="1:3">
      <c r="A23" s="98"/>
      <c r="B23" s="6" t="s">
        <v>168</v>
      </c>
      <c r="C23" s="22">
        <f>303225-1100-1000</f>
        <v>301125</v>
      </c>
    </row>
    <row r="24" spans="1:3">
      <c r="A24" s="99" t="s">
        <v>234</v>
      </c>
      <c r="B24" s="3" t="s">
        <v>63</v>
      </c>
      <c r="C24" s="21">
        <f>SUM(C25:C26)</f>
        <v>271172</v>
      </c>
    </row>
    <row r="25" spans="1:3">
      <c r="A25" s="98"/>
      <c r="B25" s="3" t="s">
        <v>58</v>
      </c>
      <c r="C25" s="21">
        <f>C28+C30</f>
        <v>47241</v>
      </c>
    </row>
    <row r="26" spans="1:3">
      <c r="A26" s="98"/>
      <c r="B26" s="3" t="s">
        <v>59</v>
      </c>
      <c r="C26" s="21">
        <f>C31</f>
        <v>223931</v>
      </c>
    </row>
    <row r="27" spans="1:3">
      <c r="A27" s="100" t="s">
        <v>235</v>
      </c>
      <c r="B27" s="6" t="s">
        <v>64</v>
      </c>
      <c r="C27" s="22">
        <f>SUM(C28)</f>
        <v>28185</v>
      </c>
    </row>
    <row r="28" spans="1:3">
      <c r="A28" s="98"/>
      <c r="B28" s="6" t="s">
        <v>169</v>
      </c>
      <c r="C28" s="22">
        <v>28185</v>
      </c>
    </row>
    <row r="29" spans="1:3">
      <c r="A29" s="100" t="s">
        <v>236</v>
      </c>
      <c r="B29" s="6" t="s">
        <v>65</v>
      </c>
      <c r="C29" s="22">
        <f>SUM(C30:C31)</f>
        <v>242987</v>
      </c>
    </row>
    <row r="30" spans="1:3">
      <c r="A30" s="98"/>
      <c r="B30" s="6" t="s">
        <v>169</v>
      </c>
      <c r="C30" s="22">
        <v>19056</v>
      </c>
    </row>
    <row r="31" spans="1:3">
      <c r="A31" s="98"/>
      <c r="B31" s="6" t="s">
        <v>168</v>
      </c>
      <c r="C31" s="22">
        <v>223931</v>
      </c>
    </row>
    <row r="32" spans="1:3">
      <c r="A32" s="99" t="s">
        <v>237</v>
      </c>
      <c r="B32" s="3" t="s">
        <v>74</v>
      </c>
      <c r="C32" s="21">
        <f>SUM(C33:C34)</f>
        <v>10936430</v>
      </c>
    </row>
    <row r="33" spans="1:3">
      <c r="A33" s="98"/>
      <c r="B33" s="3" t="s">
        <v>58</v>
      </c>
      <c r="C33" s="21">
        <f>SUMIF(B35:B51,B42,C35:C51)</f>
        <v>348684</v>
      </c>
    </row>
    <row r="34" spans="1:3">
      <c r="A34" s="98"/>
      <c r="B34" s="3" t="s">
        <v>59</v>
      </c>
      <c r="C34" s="21">
        <f>SUMIF(B35:B51,B36,C35:C51)</f>
        <v>10587746</v>
      </c>
    </row>
    <row r="35" spans="1:3">
      <c r="A35" s="100" t="s">
        <v>238</v>
      </c>
      <c r="B35" s="6" t="s">
        <v>66</v>
      </c>
      <c r="C35" s="22">
        <f>SUM(C36:C36)</f>
        <v>142500</v>
      </c>
    </row>
    <row r="36" spans="1:3">
      <c r="A36" s="98"/>
      <c r="B36" s="6" t="s">
        <v>168</v>
      </c>
      <c r="C36" s="22">
        <v>142500</v>
      </c>
    </row>
    <row r="37" spans="1:3">
      <c r="A37" s="100" t="s">
        <v>239</v>
      </c>
      <c r="B37" s="6" t="s">
        <v>67</v>
      </c>
      <c r="C37" s="22">
        <f>SUM(C38:C38)</f>
        <v>1236342</v>
      </c>
    </row>
    <row r="38" spans="1:3">
      <c r="A38" s="98"/>
      <c r="B38" s="6" t="s">
        <v>168</v>
      </c>
      <c r="C38" s="22">
        <f>1246342-10000</f>
        <v>1236342</v>
      </c>
    </row>
    <row r="39" spans="1:3">
      <c r="A39" s="100" t="s">
        <v>240</v>
      </c>
      <c r="B39" s="6" t="s">
        <v>68</v>
      </c>
      <c r="C39" s="22">
        <f>SUM(C40:C40)</f>
        <v>7753500</v>
      </c>
    </row>
    <row r="40" spans="1:3">
      <c r="A40" s="98"/>
      <c r="B40" s="6" t="s">
        <v>168</v>
      </c>
      <c r="C40" s="22">
        <f>7773500-20000</f>
        <v>7753500</v>
      </c>
    </row>
    <row r="41" spans="1:3">
      <c r="A41" s="100" t="s">
        <v>241</v>
      </c>
      <c r="B41" s="6" t="s">
        <v>69</v>
      </c>
      <c r="C41" s="22">
        <f>SUM(C42)</f>
        <v>31956</v>
      </c>
    </row>
    <row r="42" spans="1:3">
      <c r="A42" s="98"/>
      <c r="B42" s="6" t="s">
        <v>169</v>
      </c>
      <c r="C42" s="22">
        <v>31956</v>
      </c>
    </row>
    <row r="43" spans="1:3">
      <c r="A43" s="100" t="s">
        <v>242</v>
      </c>
      <c r="B43" s="6" t="s">
        <v>70</v>
      </c>
      <c r="C43" s="22">
        <f>SUM(C44:C45)</f>
        <v>236098</v>
      </c>
    </row>
    <row r="44" spans="1:3">
      <c r="A44" s="98"/>
      <c r="B44" s="6" t="s">
        <v>169</v>
      </c>
      <c r="C44" s="22">
        <f>178758-6200+6000</f>
        <v>178558</v>
      </c>
    </row>
    <row r="45" spans="1:3">
      <c r="A45" s="98"/>
      <c r="B45" s="6" t="s">
        <v>168</v>
      </c>
      <c r="C45" s="22">
        <v>57540</v>
      </c>
    </row>
    <row r="46" spans="1:3">
      <c r="A46" s="100" t="s">
        <v>243</v>
      </c>
      <c r="B46" s="6" t="s">
        <v>71</v>
      </c>
      <c r="C46" s="22">
        <f>SUM(C47:C48)</f>
        <v>540572</v>
      </c>
    </row>
    <row r="47" spans="1:3">
      <c r="A47" s="98"/>
      <c r="B47" s="6" t="s">
        <v>169</v>
      </c>
      <c r="C47" s="22">
        <v>129539</v>
      </c>
    </row>
    <row r="48" spans="1:3">
      <c r="A48" s="98"/>
      <c r="B48" s="6" t="s">
        <v>168</v>
      </c>
      <c r="C48" s="22">
        <v>411033</v>
      </c>
    </row>
    <row r="49" spans="1:3">
      <c r="A49" s="100" t="s">
        <v>244</v>
      </c>
      <c r="B49" s="6" t="s">
        <v>72</v>
      </c>
      <c r="C49" s="22">
        <f>SUM(C50:C51)</f>
        <v>995462</v>
      </c>
    </row>
    <row r="50" spans="1:3">
      <c r="A50" s="98"/>
      <c r="B50" s="6" t="s">
        <v>169</v>
      </c>
      <c r="C50" s="22">
        <v>8631</v>
      </c>
    </row>
    <row r="51" spans="1:3">
      <c r="A51" s="98"/>
      <c r="B51" s="6" t="s">
        <v>168</v>
      </c>
      <c r="C51" s="22">
        <f>-2000+998831-8000-2000</f>
        <v>986831</v>
      </c>
    </row>
    <row r="52" spans="1:3">
      <c r="A52" s="99" t="s">
        <v>245</v>
      </c>
      <c r="B52" s="3" t="s">
        <v>75</v>
      </c>
      <c r="C52" s="21">
        <f>SUM(C53:C54)</f>
        <v>5580101</v>
      </c>
    </row>
    <row r="53" spans="1:3">
      <c r="A53" s="98"/>
      <c r="B53" s="3" t="s">
        <v>58</v>
      </c>
      <c r="C53" s="21">
        <f>SUMIF(B55:B64,B56,C55:C64)</f>
        <v>61408</v>
      </c>
    </row>
    <row r="54" spans="1:3">
      <c r="A54" s="98"/>
      <c r="B54" s="3" t="s">
        <v>59</v>
      </c>
      <c r="C54" s="21">
        <f>SUMIF(B55:B64,B57,C55:C64)</f>
        <v>5518693</v>
      </c>
    </row>
    <row r="55" spans="1:3">
      <c r="A55" s="100" t="s">
        <v>246</v>
      </c>
      <c r="B55" s="6" t="s">
        <v>73</v>
      </c>
      <c r="C55" s="22">
        <f>SUM(C56:C57)</f>
        <v>4837218</v>
      </c>
    </row>
    <row r="56" spans="1:3">
      <c r="A56" s="98"/>
      <c r="B56" s="6" t="s">
        <v>169</v>
      </c>
      <c r="C56" s="22">
        <v>55017</v>
      </c>
    </row>
    <row r="57" spans="1:3">
      <c r="A57" s="98"/>
      <c r="B57" s="6" t="s">
        <v>168</v>
      </c>
      <c r="C57" s="22">
        <v>4782201</v>
      </c>
    </row>
    <row r="58" spans="1:3">
      <c r="A58" s="100" t="s">
        <v>247</v>
      </c>
      <c r="B58" s="6" t="s">
        <v>76</v>
      </c>
      <c r="C58" s="22">
        <f>SUM(C59:C59)</f>
        <v>127823</v>
      </c>
    </row>
    <row r="59" spans="1:3">
      <c r="A59" s="98"/>
      <c r="B59" s="6" t="s">
        <v>168</v>
      </c>
      <c r="C59" s="22">
        <v>127823</v>
      </c>
    </row>
    <row r="60" spans="1:3">
      <c r="A60" s="100" t="s">
        <v>248</v>
      </c>
      <c r="B60" s="6" t="s">
        <v>77</v>
      </c>
      <c r="C60" s="22">
        <f>SUM(C61:C61)</f>
        <v>596669</v>
      </c>
    </row>
    <row r="61" spans="1:3">
      <c r="A61" s="98"/>
      <c r="B61" s="6" t="s">
        <v>168</v>
      </c>
      <c r="C61" s="22">
        <f>606669-10000</f>
        <v>596669</v>
      </c>
    </row>
    <row r="62" spans="1:3">
      <c r="A62" s="100" t="s">
        <v>249</v>
      </c>
      <c r="B62" s="6" t="s">
        <v>78</v>
      </c>
      <c r="C62" s="22">
        <f>SUM(C63:C64)</f>
        <v>18391</v>
      </c>
    </row>
    <row r="63" spans="1:3">
      <c r="A63" s="98"/>
      <c r="B63" s="6" t="s">
        <v>169</v>
      </c>
      <c r="C63" s="22">
        <v>6391</v>
      </c>
    </row>
    <row r="64" spans="1:3">
      <c r="A64" s="98"/>
      <c r="B64" s="6" t="s">
        <v>168</v>
      </c>
      <c r="C64" s="22">
        <v>12000</v>
      </c>
    </row>
    <row r="65" spans="1:3">
      <c r="A65" s="99" t="s">
        <v>250</v>
      </c>
      <c r="B65" s="3" t="s">
        <v>79</v>
      </c>
      <c r="C65" s="21">
        <f>SUM(C66:C66)</f>
        <v>2155274</v>
      </c>
    </row>
    <row r="66" spans="1:3">
      <c r="A66" s="98"/>
      <c r="B66" s="3" t="s">
        <v>59</v>
      </c>
      <c r="C66" s="21">
        <f>SUMIF(B67:B74,B68,C67:C74)</f>
        <v>2155274</v>
      </c>
    </row>
    <row r="67" spans="1:3">
      <c r="A67" s="100" t="s">
        <v>251</v>
      </c>
      <c r="B67" s="6" t="s">
        <v>80</v>
      </c>
      <c r="C67" s="22">
        <f>SUM(C68:C68)</f>
        <v>825000</v>
      </c>
    </row>
    <row r="68" spans="1:3">
      <c r="A68" s="98"/>
      <c r="B68" s="6" t="s">
        <v>168</v>
      </c>
      <c r="C68" s="22">
        <v>825000</v>
      </c>
    </row>
    <row r="69" spans="1:3">
      <c r="A69" s="100" t="s">
        <v>252</v>
      </c>
      <c r="B69" s="6" t="s">
        <v>81</v>
      </c>
      <c r="C69" s="22">
        <f>SUM(C70:C70)</f>
        <v>3600</v>
      </c>
    </row>
    <row r="70" spans="1:3">
      <c r="A70" s="98"/>
      <c r="B70" s="6" t="s">
        <v>168</v>
      </c>
      <c r="C70" s="22">
        <v>3600</v>
      </c>
    </row>
    <row r="71" spans="1:3">
      <c r="A71" s="100" t="s">
        <v>253</v>
      </c>
      <c r="B71" s="6" t="s">
        <v>82</v>
      </c>
      <c r="C71" s="22">
        <f>SUM(C72:C72)</f>
        <v>806600</v>
      </c>
    </row>
    <row r="72" spans="1:3">
      <c r="A72" s="98"/>
      <c r="B72" s="6" t="s">
        <v>168</v>
      </c>
      <c r="C72" s="22">
        <v>806600</v>
      </c>
    </row>
    <row r="73" spans="1:3">
      <c r="A73" s="100" t="s">
        <v>254</v>
      </c>
      <c r="B73" s="6" t="s">
        <v>83</v>
      </c>
      <c r="C73" s="22">
        <f>SUM(C74:C74)</f>
        <v>520074</v>
      </c>
    </row>
    <row r="74" spans="1:3">
      <c r="A74" s="98"/>
      <c r="B74" s="6" t="s">
        <v>168</v>
      </c>
      <c r="C74" s="22">
        <v>520074</v>
      </c>
    </row>
    <row r="75" spans="1:3">
      <c r="A75" s="99" t="s">
        <v>255</v>
      </c>
      <c r="B75" s="3" t="s">
        <v>85</v>
      </c>
      <c r="C75" s="21">
        <f>SUM(C76:C77)</f>
        <v>402827</v>
      </c>
    </row>
    <row r="76" spans="1:3">
      <c r="A76" s="98"/>
      <c r="B76" s="3" t="s">
        <v>58</v>
      </c>
      <c r="C76" s="21">
        <f>SUMIF(B78:B87,B79,C78:C87)</f>
        <v>77077</v>
      </c>
    </row>
    <row r="77" spans="1:3">
      <c r="A77" s="98"/>
      <c r="B77" s="3" t="s">
        <v>59</v>
      </c>
      <c r="C77" s="21">
        <f>SUMIF(B78:B87,B82,C78:C87)</f>
        <v>325750</v>
      </c>
    </row>
    <row r="78" spans="1:3">
      <c r="A78" s="100" t="s">
        <v>256</v>
      </c>
      <c r="B78" s="6" t="s">
        <v>86</v>
      </c>
      <c r="C78" s="22">
        <f>SUM(C79:C79)</f>
        <v>22369</v>
      </c>
    </row>
    <row r="79" spans="1:3">
      <c r="A79" s="98"/>
      <c r="B79" s="6" t="s">
        <v>169</v>
      </c>
      <c r="C79" s="22">
        <v>22369</v>
      </c>
    </row>
    <row r="80" spans="1:3">
      <c r="A80" s="100" t="s">
        <v>257</v>
      </c>
      <c r="B80" s="6" t="s">
        <v>87</v>
      </c>
      <c r="C80" s="22">
        <f>SUM(C81:C82)</f>
        <v>77916</v>
      </c>
    </row>
    <row r="81" spans="1:3">
      <c r="A81" s="98"/>
      <c r="B81" s="6" t="s">
        <v>169</v>
      </c>
      <c r="C81" s="22">
        <v>37580</v>
      </c>
    </row>
    <row r="82" spans="1:3">
      <c r="A82" s="98"/>
      <c r="B82" s="6" t="s">
        <v>168</v>
      </c>
      <c r="C82" s="22">
        <f>-1000+41336</f>
        <v>40336</v>
      </c>
    </row>
    <row r="83" spans="1:3">
      <c r="A83" s="100" t="s">
        <v>258</v>
      </c>
      <c r="B83" s="6" t="s">
        <v>88</v>
      </c>
      <c r="C83" s="22">
        <f>SUM(C84:C84)</f>
        <v>267300</v>
      </c>
    </row>
    <row r="84" spans="1:3">
      <c r="A84" s="98"/>
      <c r="B84" s="6" t="s">
        <v>168</v>
      </c>
      <c r="C84" s="22">
        <v>267300</v>
      </c>
    </row>
    <row r="85" spans="1:3">
      <c r="A85" s="100" t="s">
        <v>259</v>
      </c>
      <c r="B85" s="6" t="s">
        <v>89</v>
      </c>
      <c r="C85" s="22">
        <f>SUM(C86:C87)</f>
        <v>35242</v>
      </c>
    </row>
    <row r="86" spans="1:3">
      <c r="A86" s="98"/>
      <c r="B86" s="6" t="s">
        <v>169</v>
      </c>
      <c r="C86" s="22">
        <v>17128</v>
      </c>
    </row>
    <row r="87" spans="1:3">
      <c r="A87" s="98"/>
      <c r="B87" s="6" t="s">
        <v>168</v>
      </c>
      <c r="C87" s="22">
        <v>18114</v>
      </c>
    </row>
    <row r="88" spans="1:3">
      <c r="A88" s="99" t="s">
        <v>260</v>
      </c>
      <c r="B88" s="3" t="s">
        <v>84</v>
      </c>
      <c r="C88" s="21">
        <f>SUM(C89:C90)</f>
        <v>7431036</v>
      </c>
    </row>
    <row r="89" spans="1:3">
      <c r="A89" s="98"/>
      <c r="B89" s="3" t="s">
        <v>58</v>
      </c>
      <c r="C89" s="21">
        <f>SUMIF(B91:B134,B92,C91:C134)</f>
        <v>3480930</v>
      </c>
    </row>
    <row r="90" spans="1:3">
      <c r="A90" s="98"/>
      <c r="B90" s="3" t="s">
        <v>59</v>
      </c>
      <c r="C90" s="21">
        <f>SUMIF(B91:B134,B97,C91:C134)</f>
        <v>3950106</v>
      </c>
    </row>
    <row r="91" spans="1:3">
      <c r="A91" s="100" t="s">
        <v>294</v>
      </c>
      <c r="B91" s="6" t="s">
        <v>90</v>
      </c>
      <c r="C91" s="22">
        <f>SUM(C92:C92)</f>
        <v>1491094</v>
      </c>
    </row>
    <row r="92" spans="1:3">
      <c r="A92" s="98"/>
      <c r="B92" s="6" t="s">
        <v>169</v>
      </c>
      <c r="C92" s="22">
        <f>1510094-16000-3000</f>
        <v>1491094</v>
      </c>
    </row>
    <row r="93" spans="1:3">
      <c r="A93" s="100" t="s">
        <v>295</v>
      </c>
      <c r="B93" s="6" t="s">
        <v>91</v>
      </c>
      <c r="C93" s="22">
        <f>SUM(C94:C94)</f>
        <v>286780</v>
      </c>
    </row>
    <row r="94" spans="1:3">
      <c r="A94" s="98"/>
      <c r="B94" s="6" t="s">
        <v>169</v>
      </c>
      <c r="C94" s="22">
        <f>294780-8000</f>
        <v>286780</v>
      </c>
    </row>
    <row r="95" spans="1:3">
      <c r="A95" s="100" t="s">
        <v>296</v>
      </c>
      <c r="B95" s="6" t="s">
        <v>322</v>
      </c>
      <c r="C95" s="22">
        <f>SUM(C96:C97)</f>
        <v>1424478</v>
      </c>
    </row>
    <row r="96" spans="1:3">
      <c r="A96" s="98"/>
      <c r="B96" s="6" t="s">
        <v>169</v>
      </c>
      <c r="C96" s="22">
        <f>233746+825</f>
        <v>234571</v>
      </c>
    </row>
    <row r="97" spans="1:3">
      <c r="A97" s="98"/>
      <c r="B97" s="6" t="s">
        <v>168</v>
      </c>
      <c r="C97" s="22">
        <v>1189907</v>
      </c>
    </row>
    <row r="98" spans="1:3">
      <c r="A98" s="100" t="s">
        <v>297</v>
      </c>
      <c r="B98" s="6" t="s">
        <v>92</v>
      </c>
      <c r="C98" s="22">
        <f>SUM(C99:C100)</f>
        <v>477755</v>
      </c>
    </row>
    <row r="99" spans="1:3">
      <c r="A99" s="98"/>
      <c r="B99" s="6" t="s">
        <v>169</v>
      </c>
      <c r="C99" s="22">
        <f>225175+3375</f>
        <v>228550</v>
      </c>
    </row>
    <row r="100" spans="1:3">
      <c r="A100" s="98"/>
      <c r="B100" s="6" t="s">
        <v>168</v>
      </c>
      <c r="C100" s="22">
        <v>249205</v>
      </c>
    </row>
    <row r="101" spans="1:3">
      <c r="A101" s="100" t="s">
        <v>298</v>
      </c>
      <c r="B101" s="6" t="s">
        <v>93</v>
      </c>
      <c r="C101" s="22">
        <f>SUM(C102:C103)</f>
        <v>76866</v>
      </c>
    </row>
    <row r="102" spans="1:3">
      <c r="A102" s="98"/>
      <c r="B102" s="6" t="s">
        <v>169</v>
      </c>
      <c r="C102" s="22">
        <v>67366</v>
      </c>
    </row>
    <row r="103" spans="1:3">
      <c r="A103" s="98"/>
      <c r="B103" s="6" t="s">
        <v>168</v>
      </c>
      <c r="C103" s="22">
        <v>9500</v>
      </c>
    </row>
    <row r="104" spans="1:3">
      <c r="A104" s="100" t="s">
        <v>299</v>
      </c>
      <c r="B104" s="6" t="s">
        <v>94</v>
      </c>
      <c r="C104" s="22">
        <f>SUM(C105:C105)</f>
        <v>34412</v>
      </c>
    </row>
    <row r="105" spans="1:3">
      <c r="A105" s="98"/>
      <c r="B105" s="6" t="s">
        <v>169</v>
      </c>
      <c r="C105" s="22">
        <v>34412</v>
      </c>
    </row>
    <row r="106" spans="1:3">
      <c r="A106" s="100" t="s">
        <v>300</v>
      </c>
      <c r="B106" s="6" t="s">
        <v>96</v>
      </c>
      <c r="C106" s="22">
        <f>SUM(C107:C108)</f>
        <v>383917</v>
      </c>
    </row>
    <row r="107" spans="1:3">
      <c r="A107" s="98"/>
      <c r="B107" s="6" t="s">
        <v>169</v>
      </c>
      <c r="C107" s="22">
        <f>355861+10000</f>
        <v>365861</v>
      </c>
    </row>
    <row r="108" spans="1:3">
      <c r="A108" s="98"/>
      <c r="B108" s="6" t="s">
        <v>168</v>
      </c>
      <c r="C108" s="22">
        <v>18056</v>
      </c>
    </row>
    <row r="109" spans="1:3">
      <c r="A109" s="100" t="s">
        <v>301</v>
      </c>
      <c r="B109" s="6" t="s">
        <v>97</v>
      </c>
      <c r="C109" s="22">
        <f>SUM(C110:C111)</f>
        <v>1376878</v>
      </c>
    </row>
    <row r="110" spans="1:3">
      <c r="A110" s="98"/>
      <c r="B110" s="6" t="s">
        <v>169</v>
      </c>
      <c r="C110" s="22">
        <v>2812</v>
      </c>
    </row>
    <row r="111" spans="1:3">
      <c r="A111" s="98"/>
      <c r="B111" s="6" t="s">
        <v>168</v>
      </c>
      <c r="C111" s="22">
        <v>1374066</v>
      </c>
    </row>
    <row r="112" spans="1:3">
      <c r="A112" s="100" t="s">
        <v>302</v>
      </c>
      <c r="B112" s="6" t="s">
        <v>98</v>
      </c>
      <c r="C112" s="22">
        <f>SUM(C113:C113)</f>
        <v>112882</v>
      </c>
    </row>
    <row r="113" spans="1:3">
      <c r="A113" s="98"/>
      <c r="B113" s="6" t="s">
        <v>168</v>
      </c>
      <c r="C113" s="22">
        <v>112882</v>
      </c>
    </row>
    <row r="114" spans="1:3">
      <c r="A114" s="100" t="s">
        <v>303</v>
      </c>
      <c r="B114" s="6" t="s">
        <v>99</v>
      </c>
      <c r="C114" s="22">
        <f>SUM(C115:C116)</f>
        <v>740379</v>
      </c>
    </row>
    <row r="115" spans="1:3">
      <c r="A115" s="98"/>
      <c r="B115" s="6" t="s">
        <v>169</v>
      </c>
      <c r="C115" s="22">
        <v>11504</v>
      </c>
    </row>
    <row r="116" spans="1:3">
      <c r="A116" s="98"/>
      <c r="B116" s="6" t="s">
        <v>168</v>
      </c>
      <c r="C116" s="22">
        <v>728875</v>
      </c>
    </row>
    <row r="117" spans="1:3">
      <c r="A117" s="100" t="s">
        <v>304</v>
      </c>
      <c r="B117" s="6" t="s">
        <v>95</v>
      </c>
      <c r="C117" s="22">
        <f>SUM(C118:C118)</f>
        <v>110000</v>
      </c>
    </row>
    <row r="118" spans="1:3">
      <c r="A118" s="98"/>
      <c r="B118" s="6" t="s">
        <v>169</v>
      </c>
      <c r="C118" s="22">
        <v>110000</v>
      </c>
    </row>
    <row r="119" spans="1:3">
      <c r="A119" s="100" t="s">
        <v>305</v>
      </c>
      <c r="B119" s="6" t="s">
        <v>100</v>
      </c>
      <c r="C119" s="22">
        <f>SUM(C120:C120)</f>
        <v>22500</v>
      </c>
    </row>
    <row r="120" spans="1:3">
      <c r="A120" s="98"/>
      <c r="B120" s="6" t="s">
        <v>169</v>
      </c>
      <c r="C120" s="22">
        <v>22500</v>
      </c>
    </row>
    <row r="121" spans="1:3">
      <c r="A121" s="100" t="s">
        <v>306</v>
      </c>
      <c r="B121" s="6" t="s">
        <v>101</v>
      </c>
      <c r="C121" s="22">
        <f>SUM(C122:C123)</f>
        <v>48219</v>
      </c>
    </row>
    <row r="122" spans="1:3">
      <c r="A122" s="98"/>
      <c r="B122" s="6" t="s">
        <v>169</v>
      </c>
      <c r="C122" s="22">
        <v>21600</v>
      </c>
    </row>
    <row r="123" spans="1:3">
      <c r="A123" s="98"/>
      <c r="B123" s="6" t="s">
        <v>168</v>
      </c>
      <c r="C123" s="22">
        <v>26619</v>
      </c>
    </row>
    <row r="124" spans="1:3">
      <c r="A124" s="100" t="s">
        <v>307</v>
      </c>
      <c r="B124" s="6" t="s">
        <v>102</v>
      </c>
      <c r="C124" s="22">
        <f>SUM(C125:C126)</f>
        <v>617299</v>
      </c>
    </row>
    <row r="125" spans="1:3">
      <c r="A125" s="98"/>
      <c r="B125" s="6" t="s">
        <v>169</v>
      </c>
      <c r="C125" s="22">
        <f>540625-15000</f>
        <v>525625</v>
      </c>
    </row>
    <row r="126" spans="1:3">
      <c r="A126" s="98"/>
      <c r="B126" s="6" t="s">
        <v>168</v>
      </c>
      <c r="C126" s="22">
        <f>94674-3000</f>
        <v>91674</v>
      </c>
    </row>
    <row r="127" spans="1:3">
      <c r="A127" s="100" t="s">
        <v>308</v>
      </c>
      <c r="B127" s="6" t="s">
        <v>103</v>
      </c>
      <c r="C127" s="22">
        <f>SUM(C128:C128)</f>
        <v>63300</v>
      </c>
    </row>
    <row r="128" spans="1:3">
      <c r="A128" s="98"/>
      <c r="B128" s="6" t="s">
        <v>169</v>
      </c>
      <c r="C128" s="22">
        <f>61500+1800</f>
        <v>63300</v>
      </c>
    </row>
    <row r="129" spans="1:3">
      <c r="A129" s="100" t="s">
        <v>309</v>
      </c>
      <c r="B129" s="6" t="s">
        <v>104</v>
      </c>
      <c r="C129" s="22">
        <f>SUM(C130:C130)</f>
        <v>9203</v>
      </c>
    </row>
    <row r="130" spans="1:3">
      <c r="A130" s="98"/>
      <c r="B130" s="6" t="s">
        <v>169</v>
      </c>
      <c r="C130" s="22">
        <v>9203</v>
      </c>
    </row>
    <row r="131" spans="1:3">
      <c r="A131" s="100" t="s">
        <v>310</v>
      </c>
      <c r="B131" s="6" t="s">
        <v>105</v>
      </c>
      <c r="C131" s="22">
        <f>SUM(C132:C132)</f>
        <v>5752</v>
      </c>
    </row>
    <row r="132" spans="1:3">
      <c r="A132" s="98"/>
      <c r="B132" s="6" t="s">
        <v>169</v>
      </c>
      <c r="C132" s="22">
        <v>5752</v>
      </c>
    </row>
    <row r="133" spans="1:3">
      <c r="A133" s="100" t="s">
        <v>311</v>
      </c>
      <c r="B133" s="6" t="s">
        <v>106</v>
      </c>
      <c r="C133" s="22">
        <f>SUM(C134:C134)</f>
        <v>149322</v>
      </c>
    </row>
    <row r="134" spans="1:3">
      <c r="A134" s="98"/>
      <c r="B134" s="6" t="s">
        <v>168</v>
      </c>
      <c r="C134" s="22">
        <f>150322-1000</f>
        <v>149322</v>
      </c>
    </row>
    <row r="135" spans="1:3">
      <c r="A135" s="99" t="s">
        <v>312</v>
      </c>
      <c r="B135" s="3" t="s">
        <v>107</v>
      </c>
      <c r="C135" s="21">
        <f>SUM(C136:C137)</f>
        <v>49640839</v>
      </c>
    </row>
    <row r="136" spans="1:3">
      <c r="A136" s="98"/>
      <c r="B136" s="3" t="s">
        <v>58</v>
      </c>
      <c r="C136" s="21">
        <f>SUMIF(B138:B158,B139,C138:C158)</f>
        <v>3796898</v>
      </c>
    </row>
    <row r="137" spans="1:3">
      <c r="A137" s="98"/>
      <c r="B137" s="3" t="s">
        <v>59</v>
      </c>
      <c r="C137" s="21">
        <f>SUMIF(B138:B158,B140,C138:C158)</f>
        <v>45843941</v>
      </c>
    </row>
    <row r="138" spans="1:3">
      <c r="A138" s="100" t="s">
        <v>313</v>
      </c>
      <c r="B138" s="6" t="s">
        <v>108</v>
      </c>
      <c r="C138" s="22">
        <f>SUM(C139:C140)</f>
        <v>16087519</v>
      </c>
    </row>
    <row r="139" spans="1:3">
      <c r="A139" s="98"/>
      <c r="B139" s="6" t="s">
        <v>169</v>
      </c>
      <c r="C139" s="22">
        <v>2051000</v>
      </c>
    </row>
    <row r="140" spans="1:3">
      <c r="A140" s="98"/>
      <c r="B140" s="6" t="s">
        <v>168</v>
      </c>
      <c r="C140" s="22">
        <f>14053219-16700</f>
        <v>14036519</v>
      </c>
    </row>
    <row r="141" spans="1:3">
      <c r="A141" s="100" t="s">
        <v>315</v>
      </c>
      <c r="B141" s="6" t="s">
        <v>109</v>
      </c>
      <c r="C141" s="22">
        <f>SUM(C142:C142)</f>
        <v>3806723</v>
      </c>
    </row>
    <row r="142" spans="1:3">
      <c r="A142" s="98"/>
      <c r="B142" s="6" t="s">
        <v>168</v>
      </c>
      <c r="C142" s="22">
        <v>3806723</v>
      </c>
    </row>
    <row r="143" spans="1:3">
      <c r="A143" s="100" t="s">
        <v>314</v>
      </c>
      <c r="B143" s="6" t="s">
        <v>110</v>
      </c>
      <c r="C143" s="22">
        <f>SUM(C144:C145)</f>
        <v>19566344</v>
      </c>
    </row>
    <row r="144" spans="1:3">
      <c r="A144" s="98"/>
      <c r="B144" s="6" t="s">
        <v>169</v>
      </c>
      <c r="C144" s="22">
        <v>577116</v>
      </c>
    </row>
    <row r="145" spans="1:3">
      <c r="A145" s="98"/>
      <c r="B145" s="6" t="s">
        <v>168</v>
      </c>
      <c r="C145" s="22">
        <f>19019978-30750</f>
        <v>18989228</v>
      </c>
    </row>
    <row r="146" spans="1:3">
      <c r="A146" s="100" t="s">
        <v>316</v>
      </c>
      <c r="B146" s="6" t="s">
        <v>111</v>
      </c>
      <c r="C146" s="22">
        <f>SUM(C147:C147)</f>
        <v>717526</v>
      </c>
    </row>
    <row r="147" spans="1:3">
      <c r="A147" s="98"/>
      <c r="B147" s="6" t="s">
        <v>168</v>
      </c>
      <c r="C147" s="22">
        <v>717526</v>
      </c>
    </row>
    <row r="148" spans="1:3">
      <c r="A148" s="100" t="s">
        <v>317</v>
      </c>
      <c r="B148" s="6" t="s">
        <v>112</v>
      </c>
      <c r="C148" s="22">
        <f>SUM(C149:C150)</f>
        <v>8288588</v>
      </c>
    </row>
    <row r="149" spans="1:3">
      <c r="A149" s="98"/>
      <c r="B149" s="6" t="s">
        <v>169</v>
      </c>
      <c r="C149" s="22">
        <v>1147563</v>
      </c>
    </row>
    <row r="150" spans="1:3">
      <c r="A150" s="98"/>
      <c r="B150" s="6" t="s">
        <v>168</v>
      </c>
      <c r="C150" s="22">
        <f>7106778+34247</f>
        <v>7141025</v>
      </c>
    </row>
    <row r="151" spans="1:3">
      <c r="A151" s="100" t="s">
        <v>318</v>
      </c>
      <c r="B151" s="6" t="s">
        <v>113</v>
      </c>
      <c r="C151" s="22">
        <f>SUM(C152:C152)</f>
        <v>21219</v>
      </c>
    </row>
    <row r="152" spans="1:3">
      <c r="A152" s="98"/>
      <c r="B152" s="6" t="s">
        <v>169</v>
      </c>
      <c r="C152" s="22">
        <v>21219</v>
      </c>
    </row>
    <row r="153" spans="1:3">
      <c r="A153" s="100" t="s">
        <v>319</v>
      </c>
      <c r="B153" s="6" t="s">
        <v>114</v>
      </c>
      <c r="C153" s="22">
        <f>SUM(C154:C154)</f>
        <v>662744</v>
      </c>
    </row>
    <row r="154" spans="1:3">
      <c r="A154" s="98"/>
      <c r="B154" s="6" t="s">
        <v>168</v>
      </c>
      <c r="C154" s="22">
        <v>662744</v>
      </c>
    </row>
    <row r="155" spans="1:3">
      <c r="A155" s="100" t="s">
        <v>320</v>
      </c>
      <c r="B155" s="6" t="s">
        <v>115</v>
      </c>
      <c r="C155" s="22">
        <f>SUM(C156:C156)</f>
        <v>159176</v>
      </c>
    </row>
    <row r="156" spans="1:3">
      <c r="A156" s="98"/>
      <c r="B156" s="6" t="s">
        <v>168</v>
      </c>
      <c r="C156" s="22">
        <v>159176</v>
      </c>
    </row>
    <row r="157" spans="1:3">
      <c r="A157" s="100" t="s">
        <v>321</v>
      </c>
      <c r="B157" s="6" t="s">
        <v>116</v>
      </c>
      <c r="C157" s="22">
        <f>SUM(C158:C158)</f>
        <v>331000</v>
      </c>
    </row>
    <row r="158" spans="1:3">
      <c r="A158" s="98"/>
      <c r="B158" s="6" t="s">
        <v>168</v>
      </c>
      <c r="C158" s="22">
        <f>-11000+342000</f>
        <v>331000</v>
      </c>
    </row>
    <row r="159" spans="1:3">
      <c r="A159" s="101">
        <v>10</v>
      </c>
      <c r="B159" s="3" t="s">
        <v>7</v>
      </c>
      <c r="C159" s="21">
        <f>SUM(C160:C161)</f>
        <v>8381838</v>
      </c>
    </row>
    <row r="160" spans="1:3">
      <c r="A160" s="98"/>
      <c r="B160" s="3" t="s">
        <v>58</v>
      </c>
      <c r="C160" s="21">
        <f>SUMIF(B162:B188,B165,C162:C188)</f>
        <v>4195198</v>
      </c>
    </row>
    <row r="161" spans="1:5">
      <c r="A161" s="98"/>
      <c r="B161" s="3" t="s">
        <v>59</v>
      </c>
      <c r="C161" s="21">
        <f>SUMIF(B162:B188,B166,C162:C188)</f>
        <v>4186640</v>
      </c>
    </row>
    <row r="162" spans="1:5">
      <c r="A162" s="98">
        <v>10120</v>
      </c>
      <c r="B162" s="6" t="s">
        <v>287</v>
      </c>
      <c r="C162" s="22">
        <f>SUM(C163:C163)</f>
        <v>363600</v>
      </c>
    </row>
    <row r="163" spans="1:5">
      <c r="A163" s="98"/>
      <c r="B163" s="6" t="s">
        <v>168</v>
      </c>
      <c r="C163" s="22">
        <v>363600</v>
      </c>
    </row>
    <row r="164" spans="1:5">
      <c r="A164" s="98">
        <v>10121</v>
      </c>
      <c r="B164" s="6" t="s">
        <v>117</v>
      </c>
      <c r="C164" s="22">
        <f>SUM(C165:C166)</f>
        <v>2137974</v>
      </c>
    </row>
    <row r="165" spans="1:5">
      <c r="A165" s="98"/>
      <c r="B165" s="6" t="s">
        <v>169</v>
      </c>
      <c r="C165" s="22">
        <v>1606044</v>
      </c>
    </row>
    <row r="166" spans="1:5">
      <c r="A166" s="98"/>
      <c r="B166" s="6" t="s">
        <v>168</v>
      </c>
      <c r="C166" s="22">
        <v>531930</v>
      </c>
    </row>
    <row r="167" spans="1:5">
      <c r="A167" s="98">
        <v>10200</v>
      </c>
      <c r="B167" s="6" t="s">
        <v>118</v>
      </c>
      <c r="C167" s="22">
        <f>SUM(C168:C168)</f>
        <v>2263212</v>
      </c>
    </row>
    <row r="168" spans="1:5">
      <c r="A168" s="98"/>
      <c r="B168" s="6" t="s">
        <v>168</v>
      </c>
      <c r="C168" s="22">
        <v>2263212</v>
      </c>
      <c r="E168" s="23"/>
    </row>
    <row r="169" spans="1:5">
      <c r="A169" s="98">
        <v>10201</v>
      </c>
      <c r="B169" s="6" t="s">
        <v>119</v>
      </c>
      <c r="C169" s="22">
        <f>SUM(C170:C171)</f>
        <v>54428</v>
      </c>
    </row>
    <row r="170" spans="1:5">
      <c r="A170" s="98"/>
      <c r="B170" s="6" t="s">
        <v>169</v>
      </c>
      <c r="C170" s="22">
        <v>38428</v>
      </c>
    </row>
    <row r="171" spans="1:5">
      <c r="A171" s="98"/>
      <c r="B171" s="6" t="s">
        <v>168</v>
      </c>
      <c r="C171" s="22">
        <v>16000</v>
      </c>
    </row>
    <row r="172" spans="1:5">
      <c r="A172" s="98">
        <v>10400</v>
      </c>
      <c r="B172" s="6" t="s">
        <v>284</v>
      </c>
      <c r="C172" s="22">
        <f>SUM(C173:C173)</f>
        <v>425045</v>
      </c>
    </row>
    <row r="173" spans="1:5">
      <c r="A173" s="98"/>
      <c r="B173" s="6" t="s">
        <v>168</v>
      </c>
      <c r="C173" s="22">
        <v>425045</v>
      </c>
    </row>
    <row r="174" spans="1:5">
      <c r="A174" s="98">
        <v>10402</v>
      </c>
      <c r="B174" s="6" t="s">
        <v>120</v>
      </c>
      <c r="C174" s="22">
        <f>SUM(C175:C176)</f>
        <v>882269</v>
      </c>
    </row>
    <row r="175" spans="1:5">
      <c r="A175" s="98"/>
      <c r="B175" s="6" t="s">
        <v>169</v>
      </c>
      <c r="C175" s="22">
        <v>814291</v>
      </c>
    </row>
    <row r="176" spans="1:5">
      <c r="A176" s="98"/>
      <c r="B176" s="6" t="s">
        <v>168</v>
      </c>
      <c r="C176" s="22">
        <v>67978</v>
      </c>
    </row>
    <row r="177" spans="1:5">
      <c r="A177" s="98">
        <v>10500</v>
      </c>
      <c r="B177" s="6" t="s">
        <v>121</v>
      </c>
      <c r="C177" s="22">
        <f>SUM(C178:C178)</f>
        <v>5978</v>
      </c>
    </row>
    <row r="178" spans="1:5">
      <c r="A178" s="98"/>
      <c r="B178" s="6" t="s">
        <v>169</v>
      </c>
      <c r="C178" s="22">
        <v>5978</v>
      </c>
    </row>
    <row r="179" spans="1:5">
      <c r="A179" s="98">
        <v>10700</v>
      </c>
      <c r="B179" s="6" t="s">
        <v>285</v>
      </c>
      <c r="C179" s="22">
        <f>SUM(C180:C180)</f>
        <v>264827</v>
      </c>
      <c r="E179" s="23"/>
    </row>
    <row r="180" spans="1:5">
      <c r="A180" s="98"/>
      <c r="B180" s="6" t="s">
        <v>168</v>
      </c>
      <c r="C180" s="22">
        <v>264827</v>
      </c>
    </row>
    <row r="181" spans="1:5">
      <c r="A181" s="98">
        <v>10701</v>
      </c>
      <c r="B181" s="6" t="s">
        <v>286</v>
      </c>
      <c r="C181" s="22">
        <f>SUM(C182:C183)</f>
        <v>1221745</v>
      </c>
    </row>
    <row r="182" spans="1:5">
      <c r="A182" s="98"/>
      <c r="B182" s="6" t="s">
        <v>169</v>
      </c>
      <c r="C182" s="22">
        <v>1186140</v>
      </c>
    </row>
    <row r="183" spans="1:5">
      <c r="A183" s="98"/>
      <c r="B183" s="6" t="s">
        <v>168</v>
      </c>
      <c r="C183" s="22">
        <v>35605</v>
      </c>
    </row>
    <row r="184" spans="1:5">
      <c r="A184" s="98">
        <v>10702</v>
      </c>
      <c r="B184" s="6" t="s">
        <v>122</v>
      </c>
      <c r="C184" s="22">
        <f>SUM(C185:C186)</f>
        <v>758410</v>
      </c>
    </row>
    <row r="185" spans="1:5">
      <c r="A185" s="98"/>
      <c r="B185" s="6" t="s">
        <v>169</v>
      </c>
      <c r="C185" s="22">
        <v>544317</v>
      </c>
    </row>
    <row r="186" spans="1:5">
      <c r="A186" s="98"/>
      <c r="B186" s="6" t="s">
        <v>168</v>
      </c>
      <c r="C186" s="22">
        <v>214093</v>
      </c>
    </row>
    <row r="187" spans="1:5">
      <c r="A187" s="98">
        <v>10900</v>
      </c>
      <c r="B187" s="6" t="s">
        <v>123</v>
      </c>
      <c r="C187" s="22">
        <f>SUM(C188:C188)</f>
        <v>4350</v>
      </c>
    </row>
    <row r="188" spans="1:5">
      <c r="A188" s="98"/>
      <c r="B188" s="6" t="s">
        <v>168</v>
      </c>
      <c r="C188" s="22">
        <v>4350</v>
      </c>
    </row>
    <row r="190" spans="1:5" ht="34.5" customHeight="1">
      <c r="B190" s="107" t="s">
        <v>166</v>
      </c>
      <c r="C190" s="108"/>
    </row>
  </sheetData>
  <mergeCells count="3">
    <mergeCell ref="B1:C1"/>
    <mergeCell ref="B2:C2"/>
    <mergeCell ref="B190:C190"/>
  </mergeCells>
  <phoneticPr fontId="0" type="noConversion"/>
  <pageMargins left="0.94488188976377963" right="0.74803149606299213" top="0.98425196850393704" bottom="0.98425196850393704" header="0.51181102362204722" footer="0.51181102362204722"/>
  <pageSetup paperSize="9" scale="85" orientation="portrait" horizontalDpi="300" verticalDpi="300" r:id="rId1"/>
  <headerFooter alignWithMargins="0">
    <oddHeader xml:space="preserve">&amp;RLisa  3
Tartu Linnavolikogu
20.12.2012.a määruse
 nr  juurde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20"/>
  <sheetViews>
    <sheetView showZeros="0" topLeftCell="A9" workbookViewId="0">
      <selection activeCell="G22" sqref="G22"/>
    </sheetView>
  </sheetViews>
  <sheetFormatPr defaultRowHeight="15"/>
  <cols>
    <col min="1" max="1" width="42.42578125" style="51" customWidth="1"/>
    <col min="2" max="2" width="5.5703125" style="68" customWidth="1"/>
    <col min="3" max="3" width="11.28515625" style="50" bestFit="1" customWidth="1"/>
    <col min="4" max="5" width="11.28515625" style="24" bestFit="1" customWidth="1"/>
    <col min="6" max="16384" width="9.140625" style="24"/>
  </cols>
  <sheetData>
    <row r="1" spans="1:5">
      <c r="A1" s="110" t="s">
        <v>292</v>
      </c>
      <c r="B1" s="110"/>
      <c r="C1" s="110"/>
      <c r="D1" s="110"/>
      <c r="E1" s="110"/>
    </row>
    <row r="2" spans="1:5">
      <c r="A2" s="25"/>
      <c r="B2" s="56"/>
      <c r="C2" s="26"/>
      <c r="E2" s="27" t="s">
        <v>37</v>
      </c>
    </row>
    <row r="3" spans="1:5">
      <c r="A3" s="115"/>
      <c r="B3" s="57"/>
      <c r="C3" s="113" t="s">
        <v>12</v>
      </c>
      <c r="D3" s="113"/>
      <c r="E3" s="114" t="s">
        <v>13</v>
      </c>
    </row>
    <row r="4" spans="1:5">
      <c r="A4" s="116"/>
      <c r="B4" s="58"/>
      <c r="C4" s="28" t="s">
        <v>14</v>
      </c>
      <c r="D4" s="29" t="s">
        <v>38</v>
      </c>
      <c r="E4" s="114"/>
    </row>
    <row r="5" spans="1:5">
      <c r="A5" s="4" t="s">
        <v>54</v>
      </c>
      <c r="B5" s="59"/>
      <c r="C5" s="30">
        <f>SUM(C6:C8)</f>
        <v>14483667</v>
      </c>
      <c r="D5" s="30">
        <f>SUM(D6:D8)</f>
        <v>28365195</v>
      </c>
      <c r="E5" s="31">
        <f>SUM(C5:D5)</f>
        <v>42848862</v>
      </c>
    </row>
    <row r="6" spans="1:5">
      <c r="A6" s="7" t="s">
        <v>44</v>
      </c>
      <c r="B6" s="54" t="s">
        <v>172</v>
      </c>
      <c r="C6" s="32">
        <f>SUMIF($B14:$B118,$B6,C14:C118)</f>
        <v>12643893</v>
      </c>
      <c r="D6" s="32">
        <f>SUMIF($B14:$B118,$B6,D14:D118)</f>
        <v>28365195</v>
      </c>
      <c r="E6" s="32">
        <f t="shared" ref="E6:E8" si="0">SUM(C6:D6)</f>
        <v>41009088</v>
      </c>
    </row>
    <row r="7" spans="1:5">
      <c r="A7" s="19" t="s">
        <v>45</v>
      </c>
      <c r="B7" s="55" t="s">
        <v>174</v>
      </c>
      <c r="C7" s="32">
        <f>SUMIF($B14:$B118,$B7,C14:C118)</f>
        <v>635597</v>
      </c>
      <c r="D7" s="32">
        <f>SUMIF($B14:$B118,$B7,D14:D118)</f>
        <v>0</v>
      </c>
      <c r="E7" s="32">
        <f t="shared" si="0"/>
        <v>635597</v>
      </c>
    </row>
    <row r="8" spans="1:5">
      <c r="A8" s="19" t="s">
        <v>50</v>
      </c>
      <c r="B8" s="55" t="s">
        <v>173</v>
      </c>
      <c r="C8" s="32">
        <f>SUMIF($B14:$B118,$B8,C14:C118)</f>
        <v>1204177</v>
      </c>
      <c r="D8" s="32">
        <f>SUMIF($B14:$B118,$B8,D14:D118)</f>
        <v>0</v>
      </c>
      <c r="E8" s="32">
        <f t="shared" si="0"/>
        <v>1204177</v>
      </c>
    </row>
    <row r="9" spans="1:5">
      <c r="A9" s="33"/>
      <c r="B9" s="60"/>
      <c r="C9" s="34"/>
      <c r="E9" s="35"/>
    </row>
    <row r="10" spans="1:5">
      <c r="A10" s="111" t="s">
        <v>148</v>
      </c>
      <c r="B10" s="111"/>
      <c r="C10" s="111"/>
      <c r="D10" s="111"/>
      <c r="E10" s="111"/>
    </row>
    <row r="11" spans="1:5">
      <c r="A11" s="36"/>
      <c r="B11" s="61"/>
      <c r="C11" s="37"/>
      <c r="E11" s="27"/>
    </row>
    <row r="12" spans="1:5" ht="12.75" customHeight="1">
      <c r="A12" s="109" t="s">
        <v>225</v>
      </c>
      <c r="B12" s="62"/>
      <c r="C12" s="112" t="s">
        <v>12</v>
      </c>
      <c r="D12" s="112"/>
      <c r="E12" s="112" t="s">
        <v>24</v>
      </c>
    </row>
    <row r="13" spans="1:5" ht="27" customHeight="1">
      <c r="A13" s="109"/>
      <c r="B13" s="62"/>
      <c r="C13" s="38" t="s">
        <v>14</v>
      </c>
      <c r="D13" s="39" t="s">
        <v>38</v>
      </c>
      <c r="E13" s="112"/>
    </row>
    <row r="14" spans="1:5" ht="25.5" customHeight="1">
      <c r="A14" s="53" t="s">
        <v>48</v>
      </c>
      <c r="B14" s="57"/>
      <c r="C14" s="31">
        <f>SUM(C15)</f>
        <v>1204177</v>
      </c>
      <c r="D14" s="31">
        <f>SUM(D15)</f>
        <v>0</v>
      </c>
      <c r="E14" s="31">
        <f>SUM(C14:D14)</f>
        <v>1204177</v>
      </c>
    </row>
    <row r="15" spans="1:5">
      <c r="A15" s="53" t="s">
        <v>176</v>
      </c>
      <c r="B15" s="57"/>
      <c r="C15" s="45">
        <f>SUM(C16:C20)</f>
        <v>1204177</v>
      </c>
      <c r="D15" s="45">
        <f>SUM(D16:D20)</f>
        <v>0</v>
      </c>
      <c r="E15" s="45">
        <f t="shared" ref="E15:E118" si="1">SUM(C15:D15)</f>
        <v>1204177</v>
      </c>
    </row>
    <row r="16" spans="1:5">
      <c r="A16" s="19" t="s">
        <v>175</v>
      </c>
      <c r="B16" s="55" t="s">
        <v>173</v>
      </c>
      <c r="C16" s="32">
        <v>865000</v>
      </c>
      <c r="D16" s="32"/>
      <c r="E16" s="32">
        <f t="shared" si="1"/>
        <v>865000</v>
      </c>
    </row>
    <row r="17" spans="1:5" ht="30">
      <c r="A17" s="19" t="s">
        <v>264</v>
      </c>
      <c r="B17" s="55" t="s">
        <v>173</v>
      </c>
      <c r="C17" s="32">
        <v>336198</v>
      </c>
      <c r="D17" s="32"/>
      <c r="E17" s="32">
        <f t="shared" si="1"/>
        <v>336198</v>
      </c>
    </row>
    <row r="18" spans="1:5" ht="18" customHeight="1">
      <c r="A18" s="19" t="s">
        <v>336</v>
      </c>
      <c r="B18" s="55" t="s">
        <v>173</v>
      </c>
      <c r="C18" s="32">
        <v>81</v>
      </c>
      <c r="D18" s="32"/>
      <c r="E18" s="32">
        <f t="shared" si="1"/>
        <v>81</v>
      </c>
    </row>
    <row r="19" spans="1:5">
      <c r="A19" s="19" t="s">
        <v>337</v>
      </c>
      <c r="B19" s="55" t="s">
        <v>173</v>
      </c>
      <c r="C19" s="32">
        <v>1104</v>
      </c>
      <c r="D19" s="32"/>
      <c r="E19" s="32">
        <f t="shared" si="1"/>
        <v>1104</v>
      </c>
    </row>
    <row r="20" spans="1:5">
      <c r="A20" s="19" t="s">
        <v>338</v>
      </c>
      <c r="B20" s="55" t="s">
        <v>173</v>
      </c>
      <c r="C20" s="32">
        <v>1794</v>
      </c>
      <c r="D20" s="32"/>
      <c r="E20" s="32">
        <f t="shared" si="1"/>
        <v>1794</v>
      </c>
    </row>
    <row r="21" spans="1:5" ht="23.25" customHeight="1">
      <c r="A21" s="40" t="s">
        <v>3</v>
      </c>
      <c r="B21" s="63"/>
      <c r="C21" s="31">
        <f>SUM(C22,C24,C42,C44,C46,C48)</f>
        <v>6455485</v>
      </c>
      <c r="D21" s="31">
        <f>SUM(D22,D24,D42,D44,D46,D48)</f>
        <v>24998389</v>
      </c>
      <c r="E21" s="31">
        <f t="shared" si="1"/>
        <v>31453874</v>
      </c>
    </row>
    <row r="22" spans="1:5">
      <c r="A22" s="40" t="s">
        <v>177</v>
      </c>
      <c r="B22" s="63"/>
      <c r="C22" s="45">
        <f>SUM(C23)</f>
        <v>50000</v>
      </c>
      <c r="D22" s="45"/>
      <c r="E22" s="45">
        <f t="shared" si="1"/>
        <v>50000</v>
      </c>
    </row>
    <row r="23" spans="1:5">
      <c r="A23" s="42" t="s">
        <v>178</v>
      </c>
      <c r="B23" s="54" t="s">
        <v>172</v>
      </c>
      <c r="C23" s="32">
        <v>50000</v>
      </c>
      <c r="D23" s="31"/>
      <c r="E23" s="32">
        <f t="shared" si="1"/>
        <v>50000</v>
      </c>
    </row>
    <row r="24" spans="1:5">
      <c r="A24" s="41" t="s">
        <v>53</v>
      </c>
      <c r="B24" s="63"/>
      <c r="C24" s="70">
        <f>SUM(C25,C28:C31,C34,C35,C39,C40)</f>
        <v>5924900</v>
      </c>
      <c r="D24" s="70">
        <f>SUM(D25,D28:D31,D34,D35,D39,D40)</f>
        <v>22752072</v>
      </c>
      <c r="E24" s="45">
        <f t="shared" si="1"/>
        <v>28676972</v>
      </c>
    </row>
    <row r="25" spans="1:5">
      <c r="A25" s="40" t="s">
        <v>19</v>
      </c>
      <c r="B25" s="63"/>
      <c r="C25" s="31">
        <f>SUM(C26:C27)</f>
        <v>3726000</v>
      </c>
      <c r="D25" s="31">
        <f>SUM(D26:D27)</f>
        <v>22728600</v>
      </c>
      <c r="E25" s="31">
        <f t="shared" si="1"/>
        <v>26454600</v>
      </c>
    </row>
    <row r="26" spans="1:5">
      <c r="A26" s="42" t="s">
        <v>179</v>
      </c>
      <c r="B26" s="65" t="s">
        <v>172</v>
      </c>
      <c r="C26" s="32">
        <f>3983200-300200</f>
        <v>3683000</v>
      </c>
      <c r="D26" s="32">
        <v>22571400</v>
      </c>
      <c r="E26" s="32">
        <f t="shared" si="1"/>
        <v>26254400</v>
      </c>
    </row>
    <row r="27" spans="1:5" ht="30">
      <c r="A27" s="42" t="s">
        <v>180</v>
      </c>
      <c r="B27" s="65" t="s">
        <v>172</v>
      </c>
      <c r="C27" s="32">
        <v>43000</v>
      </c>
      <c r="D27" s="32">
        <v>157200</v>
      </c>
      <c r="E27" s="32">
        <f t="shared" si="1"/>
        <v>200200</v>
      </c>
    </row>
    <row r="28" spans="1:5">
      <c r="A28" s="40" t="s">
        <v>181</v>
      </c>
      <c r="B28" s="63" t="s">
        <v>172</v>
      </c>
      <c r="C28" s="31">
        <v>64000</v>
      </c>
      <c r="D28" s="31"/>
      <c r="E28" s="31">
        <f t="shared" si="1"/>
        <v>64000</v>
      </c>
    </row>
    <row r="29" spans="1:5">
      <c r="A29" s="40" t="s">
        <v>182</v>
      </c>
      <c r="B29" s="63" t="s">
        <v>172</v>
      </c>
      <c r="C29" s="31">
        <v>650000</v>
      </c>
      <c r="D29" s="31"/>
      <c r="E29" s="31">
        <f t="shared" si="1"/>
        <v>650000</v>
      </c>
    </row>
    <row r="30" spans="1:5">
      <c r="A30" s="40" t="s">
        <v>183</v>
      </c>
      <c r="B30" s="63" t="s">
        <v>172</v>
      </c>
      <c r="C30" s="31">
        <v>200000</v>
      </c>
      <c r="D30" s="31"/>
      <c r="E30" s="31">
        <f t="shared" si="1"/>
        <v>200000</v>
      </c>
    </row>
    <row r="31" spans="1:5">
      <c r="A31" s="40" t="s">
        <v>186</v>
      </c>
      <c r="B31" s="63"/>
      <c r="C31" s="31">
        <f>SUM(C32:C33)</f>
        <v>1080000</v>
      </c>
      <c r="D31" s="31">
        <f>SUM(D32:D33)</f>
        <v>0</v>
      </c>
      <c r="E31" s="31">
        <f t="shared" si="1"/>
        <v>1080000</v>
      </c>
    </row>
    <row r="32" spans="1:5">
      <c r="A32" s="42" t="s">
        <v>184</v>
      </c>
      <c r="B32" s="65" t="s">
        <v>172</v>
      </c>
      <c r="C32" s="32">
        <v>1020000</v>
      </c>
      <c r="D32" s="32"/>
      <c r="E32" s="32">
        <f t="shared" si="1"/>
        <v>1020000</v>
      </c>
    </row>
    <row r="33" spans="1:5">
      <c r="A33" s="42" t="s">
        <v>185</v>
      </c>
      <c r="B33" s="65" t="s">
        <v>172</v>
      </c>
      <c r="C33" s="32">
        <v>60000</v>
      </c>
      <c r="D33" s="32"/>
      <c r="E33" s="32">
        <f t="shared" si="1"/>
        <v>60000</v>
      </c>
    </row>
    <row r="34" spans="1:5">
      <c r="A34" s="40" t="s">
        <v>187</v>
      </c>
      <c r="B34" s="63" t="s">
        <v>172</v>
      </c>
      <c r="C34" s="31">
        <v>5000</v>
      </c>
      <c r="D34" s="31"/>
      <c r="E34" s="31">
        <f t="shared" si="1"/>
        <v>5000</v>
      </c>
    </row>
    <row r="35" spans="1:5" ht="29.25">
      <c r="A35" s="40" t="s">
        <v>189</v>
      </c>
      <c r="B35" s="63"/>
      <c r="C35" s="31">
        <f>SUM(C36:C38)</f>
        <v>137292</v>
      </c>
      <c r="D35" s="31">
        <f>SUM(D36:D38)</f>
        <v>0</v>
      </c>
      <c r="E35" s="31">
        <f t="shared" si="1"/>
        <v>137292</v>
      </c>
    </row>
    <row r="36" spans="1:5">
      <c r="A36" s="71" t="s">
        <v>190</v>
      </c>
      <c r="B36" s="65" t="s">
        <v>174</v>
      </c>
      <c r="C36" s="32">
        <v>35791</v>
      </c>
      <c r="D36" s="32"/>
      <c r="E36" s="32">
        <f t="shared" si="1"/>
        <v>35791</v>
      </c>
    </row>
    <row r="37" spans="1:5">
      <c r="A37" s="7" t="s">
        <v>191</v>
      </c>
      <c r="B37" s="65" t="s">
        <v>174</v>
      </c>
      <c r="C37" s="32">
        <v>93701</v>
      </c>
      <c r="D37" s="32"/>
      <c r="E37" s="32">
        <f t="shared" si="1"/>
        <v>93701</v>
      </c>
    </row>
    <row r="38" spans="1:5">
      <c r="A38" s="7" t="s">
        <v>192</v>
      </c>
      <c r="B38" s="65" t="s">
        <v>174</v>
      </c>
      <c r="C38" s="32">
        <v>7800</v>
      </c>
      <c r="D38" s="32"/>
      <c r="E38" s="32">
        <f t="shared" si="1"/>
        <v>7800</v>
      </c>
    </row>
    <row r="39" spans="1:5">
      <c r="A39" s="40" t="s">
        <v>51</v>
      </c>
      <c r="B39" s="63" t="s">
        <v>172</v>
      </c>
      <c r="C39" s="31">
        <v>60000</v>
      </c>
      <c r="D39" s="31"/>
      <c r="E39" s="31">
        <f t="shared" si="1"/>
        <v>60000</v>
      </c>
    </row>
    <row r="40" spans="1:5">
      <c r="A40" s="40" t="s">
        <v>188</v>
      </c>
      <c r="B40" s="63"/>
      <c r="C40" s="31">
        <f>SUM(C41)</f>
        <v>2608</v>
      </c>
      <c r="D40" s="31">
        <f>SUM(D41)</f>
        <v>23472</v>
      </c>
      <c r="E40" s="31">
        <f t="shared" si="1"/>
        <v>26080</v>
      </c>
    </row>
    <row r="41" spans="1:5">
      <c r="A41" s="42" t="s">
        <v>193</v>
      </c>
      <c r="B41" s="65" t="s">
        <v>172</v>
      </c>
      <c r="C41" s="32">
        <v>2608</v>
      </c>
      <c r="D41" s="32">
        <v>23472</v>
      </c>
      <c r="E41" s="32">
        <f t="shared" si="1"/>
        <v>26080</v>
      </c>
    </row>
    <row r="42" spans="1:5">
      <c r="A42" s="42" t="s">
        <v>194</v>
      </c>
      <c r="B42" s="65"/>
      <c r="C42" s="45">
        <f>SUM(C43)</f>
        <v>237585</v>
      </c>
      <c r="D42" s="45">
        <f>SUM(D43)</f>
        <v>1346317</v>
      </c>
      <c r="E42" s="45">
        <f t="shared" si="1"/>
        <v>1583902</v>
      </c>
    </row>
    <row r="43" spans="1:5" ht="30">
      <c r="A43" s="42" t="s">
        <v>195</v>
      </c>
      <c r="B43" s="65" t="s">
        <v>172</v>
      </c>
      <c r="C43" s="32">
        <v>237585</v>
      </c>
      <c r="D43" s="32">
        <v>1346317</v>
      </c>
      <c r="E43" s="32">
        <f t="shared" si="1"/>
        <v>1583902</v>
      </c>
    </row>
    <row r="44" spans="1:5">
      <c r="A44" s="41" t="s">
        <v>196</v>
      </c>
      <c r="B44" s="64"/>
      <c r="C44" s="45">
        <f>SUM(C45)</f>
        <v>60000</v>
      </c>
      <c r="D44" s="45">
        <f>SUM(D45)</f>
        <v>900000</v>
      </c>
      <c r="E44" s="45">
        <f t="shared" si="1"/>
        <v>960000</v>
      </c>
    </row>
    <row r="45" spans="1:5">
      <c r="A45" s="72" t="s">
        <v>197</v>
      </c>
      <c r="B45" s="65" t="s">
        <v>172</v>
      </c>
      <c r="C45" s="32">
        <f>90000-30000</f>
        <v>60000</v>
      </c>
      <c r="D45" s="32">
        <v>900000</v>
      </c>
      <c r="E45" s="32">
        <f t="shared" si="1"/>
        <v>960000</v>
      </c>
    </row>
    <row r="46" spans="1:5">
      <c r="A46" s="72" t="s">
        <v>198</v>
      </c>
      <c r="B46" s="64"/>
      <c r="C46" s="45">
        <f>SUM(C47)</f>
        <v>88000</v>
      </c>
      <c r="D46" s="45">
        <f>SUM(D47)</f>
        <v>0</v>
      </c>
      <c r="E46" s="45">
        <f t="shared" si="1"/>
        <v>88000</v>
      </c>
    </row>
    <row r="47" spans="1:5" ht="30">
      <c r="A47" s="42" t="s">
        <v>331</v>
      </c>
      <c r="B47" s="65" t="s">
        <v>174</v>
      </c>
      <c r="C47" s="32">
        <f>64000+24000</f>
        <v>88000</v>
      </c>
      <c r="D47" s="32"/>
      <c r="E47" s="32">
        <f t="shared" si="1"/>
        <v>88000</v>
      </c>
    </row>
    <row r="48" spans="1:5">
      <c r="A48" s="41" t="s">
        <v>52</v>
      </c>
      <c r="B48" s="63"/>
      <c r="C48" s="45">
        <f>SUM(C49:C51)</f>
        <v>95000</v>
      </c>
      <c r="D48" s="45">
        <f>SUM(D49:D51)</f>
        <v>0</v>
      </c>
      <c r="E48" s="45">
        <f t="shared" si="1"/>
        <v>95000</v>
      </c>
    </row>
    <row r="49" spans="1:5">
      <c r="A49" s="42" t="s">
        <v>199</v>
      </c>
      <c r="B49" s="65" t="s">
        <v>172</v>
      </c>
      <c r="C49" s="32">
        <v>35000</v>
      </c>
      <c r="D49" s="32"/>
      <c r="E49" s="32">
        <f t="shared" si="1"/>
        <v>35000</v>
      </c>
    </row>
    <row r="50" spans="1:5">
      <c r="A50" s="42" t="s">
        <v>200</v>
      </c>
      <c r="B50" s="65" t="s">
        <v>172</v>
      </c>
      <c r="C50" s="32">
        <v>40000</v>
      </c>
      <c r="D50" s="32"/>
      <c r="E50" s="32">
        <f t="shared" si="1"/>
        <v>40000</v>
      </c>
    </row>
    <row r="51" spans="1:5">
      <c r="A51" s="42" t="s">
        <v>201</v>
      </c>
      <c r="B51" s="65" t="s">
        <v>172</v>
      </c>
      <c r="C51" s="32">
        <v>20000</v>
      </c>
      <c r="D51" s="32"/>
      <c r="E51" s="32">
        <f t="shared" si="1"/>
        <v>20000</v>
      </c>
    </row>
    <row r="52" spans="1:5" ht="25.5" customHeight="1">
      <c r="A52" s="53" t="s">
        <v>4</v>
      </c>
      <c r="B52" s="57"/>
      <c r="C52" s="45">
        <f>SUM(C53,C55)</f>
        <v>66500</v>
      </c>
      <c r="D52" s="45">
        <f>SUM(D53,D55)</f>
        <v>22500</v>
      </c>
      <c r="E52" s="45">
        <f t="shared" si="1"/>
        <v>89000</v>
      </c>
    </row>
    <row r="53" spans="1:5">
      <c r="A53" s="53" t="s">
        <v>202</v>
      </c>
      <c r="B53" s="57"/>
      <c r="C53" s="45">
        <f>SUM(C54)</f>
        <v>32000</v>
      </c>
      <c r="D53" s="45">
        <f>SUM(D54)</f>
        <v>0</v>
      </c>
      <c r="E53" s="45">
        <f t="shared" si="1"/>
        <v>32000</v>
      </c>
    </row>
    <row r="54" spans="1:5">
      <c r="A54" s="19" t="s">
        <v>203</v>
      </c>
      <c r="B54" s="55" t="s">
        <v>174</v>
      </c>
      <c r="C54" s="32">
        <v>32000</v>
      </c>
      <c r="D54" s="32"/>
      <c r="E54" s="32">
        <f t="shared" si="1"/>
        <v>32000</v>
      </c>
    </row>
    <row r="55" spans="1:5">
      <c r="A55" s="53" t="s">
        <v>204</v>
      </c>
      <c r="B55" s="55"/>
      <c r="C55" s="45">
        <f>SUM(C56:C57)</f>
        <v>34500</v>
      </c>
      <c r="D55" s="45">
        <f>SUM(D56:D57)</f>
        <v>22500</v>
      </c>
      <c r="E55" s="45">
        <f t="shared" si="1"/>
        <v>57000</v>
      </c>
    </row>
    <row r="56" spans="1:5">
      <c r="A56" s="7" t="s">
        <v>205</v>
      </c>
      <c r="B56" s="55" t="s">
        <v>172</v>
      </c>
      <c r="C56" s="32">
        <v>2500</v>
      </c>
      <c r="D56" s="32">
        <v>22500</v>
      </c>
      <c r="E56" s="32">
        <f t="shared" si="1"/>
        <v>25000</v>
      </c>
    </row>
    <row r="57" spans="1:5">
      <c r="A57" s="19" t="s">
        <v>206</v>
      </c>
      <c r="B57" s="55" t="s">
        <v>172</v>
      </c>
      <c r="C57" s="32">
        <v>32000</v>
      </c>
      <c r="D57" s="32"/>
      <c r="E57" s="32">
        <f t="shared" si="1"/>
        <v>32000</v>
      </c>
    </row>
    <row r="58" spans="1:5" ht="25.5" customHeight="1">
      <c r="A58" s="53" t="s">
        <v>20</v>
      </c>
      <c r="B58" s="57"/>
      <c r="C58" s="31">
        <f>SUM(C59,C63,C68)</f>
        <v>566500</v>
      </c>
      <c r="D58" s="31">
        <f>SUM(D59,D63,D68)</f>
        <v>0</v>
      </c>
      <c r="E58" s="31">
        <f t="shared" si="1"/>
        <v>566500</v>
      </c>
    </row>
    <row r="59" spans="1:5">
      <c r="A59" s="41" t="s">
        <v>21</v>
      </c>
      <c r="B59" s="63"/>
      <c r="C59" s="45">
        <f>SUM(C60:C62)</f>
        <v>460000</v>
      </c>
      <c r="D59" s="45">
        <f>SUM(D60:D62)</f>
        <v>0</v>
      </c>
      <c r="E59" s="45">
        <f t="shared" si="1"/>
        <v>460000</v>
      </c>
    </row>
    <row r="60" spans="1:5">
      <c r="A60" s="42" t="s">
        <v>22</v>
      </c>
      <c r="B60" s="65" t="s">
        <v>172</v>
      </c>
      <c r="C60" s="32">
        <v>60000</v>
      </c>
      <c r="D60" s="31"/>
      <c r="E60" s="32">
        <f t="shared" si="1"/>
        <v>60000</v>
      </c>
    </row>
    <row r="61" spans="1:5">
      <c r="A61" s="42" t="s">
        <v>207</v>
      </c>
      <c r="B61" s="65" t="s">
        <v>172</v>
      </c>
      <c r="C61" s="32">
        <v>340000</v>
      </c>
      <c r="D61" s="31"/>
      <c r="E61" s="32">
        <f t="shared" si="1"/>
        <v>340000</v>
      </c>
    </row>
    <row r="62" spans="1:5">
      <c r="A62" s="42" t="s">
        <v>23</v>
      </c>
      <c r="B62" s="65" t="s">
        <v>172</v>
      </c>
      <c r="C62" s="32">
        <v>60000</v>
      </c>
      <c r="D62" s="31"/>
      <c r="E62" s="32">
        <f t="shared" si="1"/>
        <v>60000</v>
      </c>
    </row>
    <row r="63" spans="1:5">
      <c r="A63" s="41" t="s">
        <v>39</v>
      </c>
      <c r="B63" s="64"/>
      <c r="C63" s="45">
        <f>SUM(C64:C67)</f>
        <v>80000</v>
      </c>
      <c r="D63" s="45">
        <f>SUM(D64:D67)</f>
        <v>0</v>
      </c>
      <c r="E63" s="45">
        <f t="shared" si="1"/>
        <v>80000</v>
      </c>
    </row>
    <row r="64" spans="1:5" ht="30">
      <c r="A64" s="42" t="s">
        <v>263</v>
      </c>
      <c r="B64" s="65" t="s">
        <v>172</v>
      </c>
      <c r="C64" s="32">
        <v>30000</v>
      </c>
      <c r="D64" s="31"/>
      <c r="E64" s="32">
        <f t="shared" si="1"/>
        <v>30000</v>
      </c>
    </row>
    <row r="65" spans="1:5" ht="30">
      <c r="A65" s="42" t="s">
        <v>262</v>
      </c>
      <c r="B65" s="65" t="s">
        <v>172</v>
      </c>
      <c r="C65" s="32">
        <v>40000</v>
      </c>
      <c r="D65" s="31"/>
      <c r="E65" s="32">
        <f t="shared" si="1"/>
        <v>40000</v>
      </c>
    </row>
    <row r="66" spans="1:5" ht="30">
      <c r="A66" s="42" t="s">
        <v>265</v>
      </c>
      <c r="B66" s="65" t="s">
        <v>172</v>
      </c>
      <c r="C66" s="32">
        <f>-12000+14000</f>
        <v>2000</v>
      </c>
      <c r="D66" s="31"/>
      <c r="E66" s="32">
        <f t="shared" si="1"/>
        <v>2000</v>
      </c>
    </row>
    <row r="67" spans="1:5">
      <c r="A67" s="42" t="s">
        <v>208</v>
      </c>
      <c r="B67" s="65" t="s">
        <v>172</v>
      </c>
      <c r="C67" s="32">
        <f>-2000+10000</f>
        <v>8000</v>
      </c>
      <c r="D67" s="31"/>
      <c r="E67" s="32">
        <f t="shared" si="1"/>
        <v>8000</v>
      </c>
    </row>
    <row r="68" spans="1:5">
      <c r="A68" s="41" t="s">
        <v>209</v>
      </c>
      <c r="B68" s="63"/>
      <c r="C68" s="45">
        <f>SUM(C69:C70)</f>
        <v>26500</v>
      </c>
      <c r="D68" s="45"/>
      <c r="E68" s="45">
        <f t="shared" si="1"/>
        <v>26500</v>
      </c>
    </row>
    <row r="69" spans="1:5">
      <c r="A69" s="42" t="s">
        <v>210</v>
      </c>
      <c r="B69" s="65" t="s">
        <v>172</v>
      </c>
      <c r="C69" s="32">
        <v>20500</v>
      </c>
      <c r="D69" s="31"/>
      <c r="E69" s="32">
        <f t="shared" si="1"/>
        <v>20500</v>
      </c>
    </row>
    <row r="70" spans="1:5">
      <c r="A70" s="42" t="s">
        <v>211</v>
      </c>
      <c r="B70" s="65" t="s">
        <v>172</v>
      </c>
      <c r="C70" s="32">
        <v>6000</v>
      </c>
      <c r="D70" s="31"/>
      <c r="E70" s="32">
        <f t="shared" si="1"/>
        <v>6000</v>
      </c>
    </row>
    <row r="71" spans="1:5" ht="28.5" customHeight="1">
      <c r="A71" s="53" t="s">
        <v>15</v>
      </c>
      <c r="B71" s="57"/>
      <c r="C71" s="31">
        <f>SUM(C72,C75,C77,C79,C82)</f>
        <v>548735</v>
      </c>
      <c r="D71" s="31">
        <f>SUM(D72,D75,D77,D79,D82)</f>
        <v>2809000</v>
      </c>
      <c r="E71" s="31">
        <f t="shared" si="1"/>
        <v>3357735</v>
      </c>
    </row>
    <row r="72" spans="1:5">
      <c r="A72" s="41" t="s">
        <v>18</v>
      </c>
      <c r="B72" s="63"/>
      <c r="C72" s="45">
        <f>SUM(C73:C74)</f>
        <v>111912</v>
      </c>
      <c r="D72" s="45">
        <f>SUM(D73:D74)</f>
        <v>0</v>
      </c>
      <c r="E72" s="45">
        <f t="shared" si="1"/>
        <v>111912</v>
      </c>
    </row>
    <row r="73" spans="1:5">
      <c r="A73" s="42" t="s">
        <v>333</v>
      </c>
      <c r="B73" s="65" t="s">
        <v>174</v>
      </c>
      <c r="C73" s="32">
        <v>48000</v>
      </c>
      <c r="D73" s="32"/>
      <c r="E73" s="32">
        <f t="shared" si="1"/>
        <v>48000</v>
      </c>
    </row>
    <row r="74" spans="1:5">
      <c r="A74" s="42" t="s">
        <v>332</v>
      </c>
      <c r="B74" s="65" t="s">
        <v>174</v>
      </c>
      <c r="C74" s="32">
        <v>63912</v>
      </c>
      <c r="D74" s="32"/>
      <c r="E74" s="32">
        <f t="shared" si="1"/>
        <v>63912</v>
      </c>
    </row>
    <row r="75" spans="1:5">
      <c r="A75" s="42" t="s">
        <v>212</v>
      </c>
      <c r="B75" s="65"/>
      <c r="C75" s="45">
        <f>SUM(C76:C76)</f>
        <v>250000</v>
      </c>
      <c r="D75" s="45">
        <f>SUM(D76:D76)</f>
        <v>2809000</v>
      </c>
      <c r="E75" s="45">
        <f t="shared" si="1"/>
        <v>3059000</v>
      </c>
    </row>
    <row r="76" spans="1:5">
      <c r="A76" s="72" t="s">
        <v>266</v>
      </c>
      <c r="B76" s="65" t="s">
        <v>172</v>
      </c>
      <c r="C76" s="32">
        <v>250000</v>
      </c>
      <c r="D76" s="32">
        <v>2809000</v>
      </c>
      <c r="E76" s="32">
        <f>SUM(C76:D76)</f>
        <v>3059000</v>
      </c>
    </row>
    <row r="77" spans="1:5">
      <c r="A77" s="41" t="s">
        <v>26</v>
      </c>
      <c r="B77" s="63"/>
      <c r="C77" s="45">
        <f>SUM(C78:C78)</f>
        <v>15000</v>
      </c>
      <c r="D77" s="45">
        <f>SUM(D78:D78)</f>
        <v>0</v>
      </c>
      <c r="E77" s="45">
        <f t="shared" si="1"/>
        <v>15000</v>
      </c>
    </row>
    <row r="78" spans="1:5">
      <c r="A78" s="72" t="s">
        <v>267</v>
      </c>
      <c r="B78" s="65" t="s">
        <v>172</v>
      </c>
      <c r="C78" s="32">
        <v>15000</v>
      </c>
      <c r="D78" s="32"/>
      <c r="E78" s="32">
        <f t="shared" si="1"/>
        <v>15000</v>
      </c>
    </row>
    <row r="79" spans="1:5">
      <c r="A79" s="42" t="s">
        <v>213</v>
      </c>
      <c r="B79" s="65"/>
      <c r="C79" s="45">
        <f>SUM(C80:C81)</f>
        <v>24000</v>
      </c>
      <c r="D79" s="45">
        <f>SUM(D80:D81)</f>
        <v>0</v>
      </c>
      <c r="E79" s="45">
        <f t="shared" si="1"/>
        <v>24000</v>
      </c>
    </row>
    <row r="80" spans="1:5">
      <c r="A80" s="72" t="s">
        <v>268</v>
      </c>
      <c r="B80" s="65" t="s">
        <v>172</v>
      </c>
      <c r="C80" s="32">
        <v>20000</v>
      </c>
      <c r="D80" s="32"/>
      <c r="E80" s="32">
        <f t="shared" si="1"/>
        <v>20000</v>
      </c>
    </row>
    <row r="81" spans="1:5" ht="30">
      <c r="A81" s="72" t="s">
        <v>269</v>
      </c>
      <c r="B81" s="65" t="s">
        <v>172</v>
      </c>
      <c r="C81" s="32">
        <v>4000</v>
      </c>
      <c r="D81" s="32"/>
      <c r="E81" s="32">
        <f t="shared" si="1"/>
        <v>4000</v>
      </c>
    </row>
    <row r="82" spans="1:5">
      <c r="A82" s="41" t="s">
        <v>270</v>
      </c>
      <c r="B82" s="64"/>
      <c r="C82" s="45">
        <f>SUM(C83:C84)</f>
        <v>147823</v>
      </c>
      <c r="D82" s="45">
        <f>SUM(D83:D84)</f>
        <v>0</v>
      </c>
      <c r="E82" s="45">
        <f t="shared" si="1"/>
        <v>147823</v>
      </c>
    </row>
    <row r="83" spans="1:5" ht="30">
      <c r="A83" s="73" t="s">
        <v>214</v>
      </c>
      <c r="B83" s="65" t="s">
        <v>174</v>
      </c>
      <c r="C83" s="32">
        <v>127823</v>
      </c>
      <c r="D83" s="32"/>
      <c r="E83" s="32">
        <f t="shared" si="1"/>
        <v>127823</v>
      </c>
    </row>
    <row r="84" spans="1:5">
      <c r="A84" s="42" t="s">
        <v>215</v>
      </c>
      <c r="B84" s="65" t="s">
        <v>174</v>
      </c>
      <c r="C84" s="32">
        <v>20000</v>
      </c>
      <c r="D84" s="32"/>
      <c r="E84" s="32">
        <f t="shared" si="1"/>
        <v>20000</v>
      </c>
    </row>
    <row r="85" spans="1:5">
      <c r="A85" s="53" t="s">
        <v>6</v>
      </c>
      <c r="B85" s="57"/>
      <c r="C85" s="31">
        <f>SUM(C86,C94,C98,C106,C109,C111)</f>
        <v>5543070</v>
      </c>
      <c r="D85" s="31">
        <f>SUM(D86,D94,D98,D106,D109,D111)</f>
        <v>535306</v>
      </c>
      <c r="E85" s="31">
        <f t="shared" si="1"/>
        <v>6078376</v>
      </c>
    </row>
    <row r="86" spans="1:5">
      <c r="A86" s="43" t="s">
        <v>16</v>
      </c>
      <c r="B86" s="57"/>
      <c r="C86" s="45">
        <f>SUM(C87:C93)</f>
        <v>2770570</v>
      </c>
      <c r="D86" s="45">
        <f>SUM(D87:D93)</f>
        <v>488000</v>
      </c>
      <c r="E86" s="45">
        <f t="shared" si="1"/>
        <v>3258570</v>
      </c>
    </row>
    <row r="87" spans="1:5">
      <c r="A87" s="19" t="s">
        <v>25</v>
      </c>
      <c r="B87" s="55" t="s">
        <v>174</v>
      </c>
      <c r="C87" s="32">
        <v>21570</v>
      </c>
      <c r="D87" s="32"/>
      <c r="E87" s="32">
        <f t="shared" si="1"/>
        <v>21570</v>
      </c>
    </row>
    <row r="88" spans="1:5">
      <c r="A88" s="19" t="s">
        <v>40</v>
      </c>
      <c r="B88" s="55" t="s">
        <v>172</v>
      </c>
      <c r="C88" s="32">
        <v>2459000</v>
      </c>
      <c r="D88" s="32">
        <v>488000</v>
      </c>
      <c r="E88" s="32">
        <f t="shared" si="1"/>
        <v>2947000</v>
      </c>
    </row>
    <row r="89" spans="1:5" ht="30">
      <c r="A89" s="19" t="s">
        <v>216</v>
      </c>
      <c r="B89" s="55" t="s">
        <v>172</v>
      </c>
      <c r="C89" s="32">
        <v>50000</v>
      </c>
      <c r="D89" s="32"/>
      <c r="E89" s="32">
        <f t="shared" si="1"/>
        <v>50000</v>
      </c>
    </row>
    <row r="90" spans="1:5">
      <c r="A90" s="19" t="s">
        <v>271</v>
      </c>
      <c r="B90" s="55" t="s">
        <v>172</v>
      </c>
      <c r="C90" s="32">
        <v>130000</v>
      </c>
      <c r="D90" s="32"/>
      <c r="E90" s="32">
        <f t="shared" si="1"/>
        <v>130000</v>
      </c>
    </row>
    <row r="91" spans="1:5">
      <c r="A91" s="19" t="s">
        <v>272</v>
      </c>
      <c r="B91" s="55" t="s">
        <v>172</v>
      </c>
      <c r="C91" s="32">
        <v>45000</v>
      </c>
      <c r="D91" s="32"/>
      <c r="E91" s="32">
        <f t="shared" si="1"/>
        <v>45000</v>
      </c>
    </row>
    <row r="92" spans="1:5">
      <c r="A92" s="19" t="s">
        <v>273</v>
      </c>
      <c r="B92" s="55" t="s">
        <v>172</v>
      </c>
      <c r="C92" s="32">
        <v>40000</v>
      </c>
      <c r="D92" s="32"/>
      <c r="E92" s="32">
        <f t="shared" si="1"/>
        <v>40000</v>
      </c>
    </row>
    <row r="93" spans="1:5">
      <c r="A93" s="19" t="s">
        <v>274</v>
      </c>
      <c r="B93" s="55" t="s">
        <v>172</v>
      </c>
      <c r="C93" s="32">
        <v>25000</v>
      </c>
      <c r="D93" s="32"/>
      <c r="E93" s="32">
        <f t="shared" si="1"/>
        <v>25000</v>
      </c>
    </row>
    <row r="94" spans="1:5">
      <c r="A94" s="43" t="s">
        <v>42</v>
      </c>
      <c r="B94" s="57"/>
      <c r="C94" s="45">
        <f>SUM(C95:C97)</f>
        <v>415000</v>
      </c>
      <c r="D94" s="45">
        <f t="shared" ref="D94" si="2">SUM(D95:D97)</f>
        <v>0</v>
      </c>
      <c r="E94" s="45">
        <f t="shared" si="1"/>
        <v>415000</v>
      </c>
    </row>
    <row r="95" spans="1:5">
      <c r="A95" s="19" t="s">
        <v>275</v>
      </c>
      <c r="B95" s="55" t="s">
        <v>172</v>
      </c>
      <c r="C95" s="32">
        <v>310000</v>
      </c>
      <c r="D95" s="32"/>
      <c r="E95" s="32">
        <f t="shared" si="1"/>
        <v>310000</v>
      </c>
    </row>
    <row r="96" spans="1:5">
      <c r="A96" s="19" t="s">
        <v>276</v>
      </c>
      <c r="B96" s="55" t="s">
        <v>172</v>
      </c>
      <c r="C96" s="32">
        <v>100000</v>
      </c>
      <c r="D96" s="32"/>
      <c r="E96" s="32">
        <f t="shared" si="1"/>
        <v>100000</v>
      </c>
    </row>
    <row r="97" spans="1:5" ht="33" customHeight="1">
      <c r="A97" s="19" t="s">
        <v>217</v>
      </c>
      <c r="B97" s="55" t="s">
        <v>174</v>
      </c>
      <c r="C97" s="32">
        <v>5000</v>
      </c>
      <c r="D97" s="32"/>
      <c r="E97" s="32">
        <f t="shared" si="1"/>
        <v>5000</v>
      </c>
    </row>
    <row r="98" spans="1:5">
      <c r="A98" s="47" t="s">
        <v>41</v>
      </c>
      <c r="B98" s="69"/>
      <c r="C98" s="46">
        <f>SUM(C99:C105)</f>
        <v>489500</v>
      </c>
      <c r="D98" s="46">
        <f>SUM(D99:D105)</f>
        <v>0</v>
      </c>
      <c r="E98" s="45">
        <f t="shared" si="1"/>
        <v>489500</v>
      </c>
    </row>
    <row r="99" spans="1:5">
      <c r="A99" s="75" t="s">
        <v>46</v>
      </c>
      <c r="B99" s="74" t="s">
        <v>172</v>
      </c>
      <c r="C99" s="44">
        <v>60000</v>
      </c>
      <c r="D99" s="49"/>
      <c r="E99" s="32">
        <f t="shared" si="1"/>
        <v>60000</v>
      </c>
    </row>
    <row r="100" spans="1:5">
      <c r="A100" s="75" t="s">
        <v>278</v>
      </c>
      <c r="B100" s="74" t="s">
        <v>172</v>
      </c>
      <c r="C100" s="44">
        <f>-30000+210000</f>
        <v>180000</v>
      </c>
      <c r="D100" s="49"/>
      <c r="E100" s="32">
        <f t="shared" si="1"/>
        <v>180000</v>
      </c>
    </row>
    <row r="101" spans="1:5">
      <c r="A101" s="75" t="s">
        <v>279</v>
      </c>
      <c r="B101" s="74" t="s">
        <v>172</v>
      </c>
      <c r="C101" s="44">
        <v>100000</v>
      </c>
      <c r="D101" s="49"/>
      <c r="E101" s="32">
        <f t="shared" si="1"/>
        <v>100000</v>
      </c>
    </row>
    <row r="102" spans="1:5">
      <c r="A102" s="75" t="s">
        <v>277</v>
      </c>
      <c r="B102" s="74" t="s">
        <v>172</v>
      </c>
      <c r="C102" s="44">
        <v>70000</v>
      </c>
      <c r="D102" s="49"/>
      <c r="E102" s="32">
        <f t="shared" si="1"/>
        <v>70000</v>
      </c>
    </row>
    <row r="103" spans="1:5">
      <c r="A103" s="75" t="s">
        <v>291</v>
      </c>
      <c r="B103" s="74" t="s">
        <v>172</v>
      </c>
      <c r="C103" s="44">
        <v>39000</v>
      </c>
      <c r="D103" s="49"/>
      <c r="E103" s="32">
        <f t="shared" si="1"/>
        <v>39000</v>
      </c>
    </row>
    <row r="104" spans="1:5">
      <c r="A104" s="75" t="s">
        <v>280</v>
      </c>
      <c r="B104" s="74" t="s">
        <v>172</v>
      </c>
      <c r="C104" s="44">
        <f>3000+35000</f>
        <v>38000</v>
      </c>
      <c r="D104" s="49"/>
      <c r="E104" s="32">
        <f t="shared" si="1"/>
        <v>38000</v>
      </c>
    </row>
    <row r="105" spans="1:5" ht="30">
      <c r="A105" s="19" t="s">
        <v>218</v>
      </c>
      <c r="B105" s="74" t="s">
        <v>172</v>
      </c>
      <c r="C105" s="44">
        <v>2500</v>
      </c>
      <c r="D105" s="49"/>
      <c r="E105" s="32">
        <f t="shared" si="1"/>
        <v>2500</v>
      </c>
    </row>
    <row r="106" spans="1:5">
      <c r="A106" s="19" t="s">
        <v>219</v>
      </c>
      <c r="B106" s="74"/>
      <c r="C106" s="46">
        <f>SUM(C107:C108)</f>
        <v>1538000</v>
      </c>
      <c r="D106" s="48"/>
      <c r="E106" s="45">
        <f t="shared" si="1"/>
        <v>1538000</v>
      </c>
    </row>
    <row r="107" spans="1:5">
      <c r="A107" s="19" t="s">
        <v>220</v>
      </c>
      <c r="B107" s="74" t="s">
        <v>172</v>
      </c>
      <c r="C107" s="44">
        <v>1188000</v>
      </c>
      <c r="D107" s="49"/>
      <c r="E107" s="32">
        <f t="shared" si="1"/>
        <v>1188000</v>
      </c>
    </row>
    <row r="108" spans="1:5" ht="30">
      <c r="A108" s="19" t="s">
        <v>281</v>
      </c>
      <c r="B108" s="74" t="s">
        <v>172</v>
      </c>
      <c r="C108" s="32">
        <v>350000</v>
      </c>
      <c r="D108" s="49"/>
      <c r="E108" s="32">
        <f t="shared" si="1"/>
        <v>350000</v>
      </c>
    </row>
    <row r="109" spans="1:5">
      <c r="A109" s="19" t="s">
        <v>221</v>
      </c>
      <c r="B109" s="74"/>
      <c r="C109" s="76">
        <f>SUM(C110)</f>
        <v>0</v>
      </c>
      <c r="D109" s="76">
        <f>SUM(D110)</f>
        <v>47306</v>
      </c>
      <c r="E109" s="45">
        <f t="shared" si="1"/>
        <v>47306</v>
      </c>
    </row>
    <row r="110" spans="1:5">
      <c r="A110" s="19" t="s">
        <v>283</v>
      </c>
      <c r="B110" s="74" t="s">
        <v>172</v>
      </c>
      <c r="C110" s="8"/>
      <c r="D110" s="32">
        <v>47306</v>
      </c>
      <c r="E110" s="32">
        <f t="shared" si="1"/>
        <v>47306</v>
      </c>
    </row>
    <row r="111" spans="1:5">
      <c r="A111" s="43" t="s">
        <v>17</v>
      </c>
      <c r="B111" s="57"/>
      <c r="C111" s="45">
        <f>SUM(C112:C113)</f>
        <v>330000</v>
      </c>
      <c r="D111" s="45">
        <f>SUM(D112:D113)</f>
        <v>0</v>
      </c>
      <c r="E111" s="45">
        <f t="shared" si="1"/>
        <v>330000</v>
      </c>
    </row>
    <row r="112" spans="1:5">
      <c r="A112" s="19" t="s">
        <v>43</v>
      </c>
      <c r="B112" s="55" t="s">
        <v>172</v>
      </c>
      <c r="C112" s="32">
        <v>250000</v>
      </c>
      <c r="D112" s="32"/>
      <c r="E112" s="32">
        <f t="shared" si="1"/>
        <v>250000</v>
      </c>
    </row>
    <row r="113" spans="1:5" ht="30">
      <c r="A113" s="19" t="s">
        <v>282</v>
      </c>
      <c r="B113" s="55" t="s">
        <v>172</v>
      </c>
      <c r="C113" s="32">
        <v>80000</v>
      </c>
      <c r="D113" s="32"/>
      <c r="E113" s="32">
        <f t="shared" si="1"/>
        <v>80000</v>
      </c>
    </row>
    <row r="114" spans="1:5" ht="22.5" customHeight="1">
      <c r="A114" s="53" t="s">
        <v>7</v>
      </c>
      <c r="B114" s="57"/>
      <c r="C114" s="31">
        <f>SUM(C115,C117)</f>
        <v>99200</v>
      </c>
      <c r="D114" s="31">
        <f>SUM(D115,D117)</f>
        <v>0</v>
      </c>
      <c r="E114" s="31">
        <f t="shared" si="1"/>
        <v>99200</v>
      </c>
    </row>
    <row r="115" spans="1:5">
      <c r="A115" s="53" t="s">
        <v>222</v>
      </c>
      <c r="B115" s="57"/>
      <c r="C115" s="45">
        <f>SUM(C116)</f>
        <v>7200</v>
      </c>
      <c r="D115" s="45">
        <f>SUM(D116)</f>
        <v>0</v>
      </c>
      <c r="E115" s="45">
        <f t="shared" si="1"/>
        <v>7200</v>
      </c>
    </row>
    <row r="116" spans="1:5">
      <c r="A116" s="19" t="s">
        <v>223</v>
      </c>
      <c r="B116" s="55" t="s">
        <v>172</v>
      </c>
      <c r="C116" s="32">
        <v>7200</v>
      </c>
      <c r="D116" s="32"/>
      <c r="E116" s="32">
        <f t="shared" si="1"/>
        <v>7200</v>
      </c>
    </row>
    <row r="117" spans="1:5" ht="30">
      <c r="A117" s="43" t="s">
        <v>224</v>
      </c>
      <c r="B117" s="66"/>
      <c r="C117" s="45">
        <f>SUM(C118)</f>
        <v>92000</v>
      </c>
      <c r="D117" s="45">
        <f>SUM(D118)</f>
        <v>0</v>
      </c>
      <c r="E117" s="45">
        <f t="shared" si="1"/>
        <v>92000</v>
      </c>
    </row>
    <row r="118" spans="1:5">
      <c r="A118" s="19" t="s">
        <v>334</v>
      </c>
      <c r="B118" s="55" t="s">
        <v>174</v>
      </c>
      <c r="C118" s="32">
        <v>92000</v>
      </c>
      <c r="D118" s="32"/>
      <c r="E118" s="32">
        <f t="shared" si="1"/>
        <v>92000</v>
      </c>
    </row>
    <row r="119" spans="1:5">
      <c r="A119" s="24"/>
      <c r="B119" s="67"/>
      <c r="C119" s="24"/>
    </row>
    <row r="120" spans="1:5" ht="31.5" customHeight="1">
      <c r="A120" s="107" t="s">
        <v>166</v>
      </c>
      <c r="B120" s="107"/>
      <c r="C120" s="108"/>
      <c r="D120" s="108"/>
      <c r="E120" s="108"/>
    </row>
  </sheetData>
  <mergeCells count="9">
    <mergeCell ref="A120:E120"/>
    <mergeCell ref="A12:A13"/>
    <mergeCell ref="A1:E1"/>
    <mergeCell ref="A10:E10"/>
    <mergeCell ref="C12:D12"/>
    <mergeCell ref="E12:E13"/>
    <mergeCell ref="C3:D3"/>
    <mergeCell ref="E3:E4"/>
    <mergeCell ref="A3:A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Header>&amp;RLisa 4
Tartu linnavolikogu 20.12.2012.a 
määruse nr  juurde</oddHeader>
    <oddFooter xml:space="preserve">&amp;C&amp;P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E20"/>
  <sheetViews>
    <sheetView workbookViewId="0">
      <selection activeCell="D33" sqref="D33"/>
    </sheetView>
  </sheetViews>
  <sheetFormatPr defaultRowHeight="15"/>
  <cols>
    <col min="1" max="1" width="29.7109375" style="9" customWidth="1"/>
    <col min="2" max="2" width="15.85546875" style="9" bestFit="1" customWidth="1"/>
    <col min="3" max="3" width="13.42578125" style="9" bestFit="1" customWidth="1"/>
    <col min="4" max="4" width="11.28515625" style="9" bestFit="1" customWidth="1"/>
    <col min="5" max="5" width="13.42578125" style="9" bestFit="1" customWidth="1"/>
    <col min="6" max="16384" width="9.140625" style="9"/>
  </cols>
  <sheetData>
    <row r="3" spans="1:5">
      <c r="A3" s="110" t="s">
        <v>289</v>
      </c>
      <c r="B3" s="110"/>
      <c r="C3" s="110"/>
      <c r="D3" s="110"/>
      <c r="E3" s="117"/>
    </row>
    <row r="5" spans="1:5" ht="60">
      <c r="A5" s="89" t="s">
        <v>144</v>
      </c>
      <c r="B5" s="90" t="s">
        <v>149</v>
      </c>
      <c r="C5" s="90" t="s">
        <v>329</v>
      </c>
      <c r="D5" s="90" t="s">
        <v>288</v>
      </c>
      <c r="E5" s="90" t="s">
        <v>330</v>
      </c>
    </row>
    <row r="6" spans="1:5">
      <c r="A6" s="91" t="s">
        <v>323</v>
      </c>
      <c r="B6" s="92">
        <v>5432490</v>
      </c>
      <c r="C6" s="92">
        <v>776070</v>
      </c>
      <c r="D6" s="93">
        <v>776070</v>
      </c>
      <c r="E6" s="92">
        <f>C6-D6</f>
        <v>0</v>
      </c>
    </row>
    <row r="7" spans="1:5">
      <c r="A7" s="7" t="s">
        <v>323</v>
      </c>
      <c r="B7" s="52">
        <v>8274194</v>
      </c>
      <c r="C7" s="52">
        <v>3309677</v>
      </c>
      <c r="D7" s="22">
        <v>827420</v>
      </c>
      <c r="E7" s="52">
        <f t="shared" ref="E7:E16" si="0">C7-D7</f>
        <v>2482257</v>
      </c>
    </row>
    <row r="8" spans="1:5">
      <c r="A8" s="7" t="s">
        <v>324</v>
      </c>
      <c r="B8" s="52">
        <v>9586747</v>
      </c>
      <c r="C8" s="52">
        <v>4793374</v>
      </c>
      <c r="D8" s="22">
        <v>958675</v>
      </c>
      <c r="E8" s="52">
        <f t="shared" si="0"/>
        <v>3834699</v>
      </c>
    </row>
    <row r="9" spans="1:5">
      <c r="A9" s="7" t="s">
        <v>323</v>
      </c>
      <c r="B9" s="52">
        <v>5229315</v>
      </c>
      <c r="C9" s="52">
        <v>2614658</v>
      </c>
      <c r="D9" s="22">
        <v>522932</v>
      </c>
      <c r="E9" s="52">
        <f t="shared" si="0"/>
        <v>2091726</v>
      </c>
    </row>
    <row r="10" spans="1:5">
      <c r="A10" s="7" t="s">
        <v>324</v>
      </c>
      <c r="B10" s="11">
        <v>8272404</v>
      </c>
      <c r="C10" s="52">
        <v>8272404</v>
      </c>
      <c r="D10" s="22">
        <v>8272404</v>
      </c>
      <c r="E10" s="52">
        <f t="shared" si="0"/>
        <v>0</v>
      </c>
    </row>
    <row r="11" spans="1:5">
      <c r="A11" s="94" t="s">
        <v>325</v>
      </c>
      <c r="B11" s="11">
        <v>4693300</v>
      </c>
      <c r="C11" s="52">
        <v>1877320</v>
      </c>
      <c r="D11" s="22">
        <v>938660</v>
      </c>
      <c r="E11" s="52">
        <f t="shared" si="0"/>
        <v>938660</v>
      </c>
    </row>
    <row r="12" spans="1:5">
      <c r="A12" s="94" t="s">
        <v>326</v>
      </c>
      <c r="B12" s="11">
        <v>3570807</v>
      </c>
      <c r="C12" s="52">
        <v>2142485</v>
      </c>
      <c r="D12" s="22">
        <v>714161</v>
      </c>
      <c r="E12" s="52">
        <f t="shared" si="0"/>
        <v>1428324</v>
      </c>
    </row>
    <row r="13" spans="1:5">
      <c r="A13" s="94" t="s">
        <v>326</v>
      </c>
      <c r="B13" s="11">
        <v>11320800</v>
      </c>
      <c r="C13" s="52">
        <v>10188720</v>
      </c>
      <c r="D13" s="22">
        <v>1132080</v>
      </c>
      <c r="E13" s="52">
        <f t="shared" si="0"/>
        <v>9056640</v>
      </c>
    </row>
    <row r="14" spans="1:5">
      <c r="A14" s="94" t="s">
        <v>327</v>
      </c>
      <c r="B14" s="52">
        <v>7398846</v>
      </c>
      <c r="C14" s="52">
        <v>7398846</v>
      </c>
      <c r="D14" s="22">
        <v>1479769</v>
      </c>
      <c r="E14" s="52">
        <f t="shared" si="0"/>
        <v>5919077</v>
      </c>
    </row>
    <row r="15" spans="1:5">
      <c r="A15" s="7" t="s">
        <v>145</v>
      </c>
      <c r="B15" s="52">
        <v>6538481</v>
      </c>
      <c r="C15" s="52">
        <v>5551768</v>
      </c>
      <c r="D15" s="22">
        <v>244697</v>
      </c>
      <c r="E15" s="52">
        <f t="shared" si="0"/>
        <v>5307071</v>
      </c>
    </row>
    <row r="16" spans="1:5">
      <c r="A16" s="7" t="s">
        <v>146</v>
      </c>
      <c r="B16" s="11">
        <v>110350</v>
      </c>
      <c r="C16" s="52">
        <v>56993</v>
      </c>
      <c r="D16" s="22">
        <v>17531</v>
      </c>
      <c r="E16" s="52">
        <f t="shared" si="0"/>
        <v>39462</v>
      </c>
    </row>
    <row r="17" spans="1:5">
      <c r="A17" s="7" t="s">
        <v>290</v>
      </c>
      <c r="B17" s="52"/>
      <c r="C17" s="52"/>
      <c r="D17" s="22"/>
      <c r="E17" s="52">
        <f>19477548+300000</f>
        <v>19777548</v>
      </c>
    </row>
    <row r="18" spans="1:5">
      <c r="A18" s="4" t="s">
        <v>24</v>
      </c>
      <c r="B18" s="95"/>
      <c r="C18" s="95">
        <f>SUM(C6:C17)</f>
        <v>46982315</v>
      </c>
      <c r="D18" s="95">
        <f t="shared" ref="D18:E18" si="1">SUM(D6:D17)</f>
        <v>15884399</v>
      </c>
      <c r="E18" s="95">
        <f t="shared" si="1"/>
        <v>50875464</v>
      </c>
    </row>
    <row r="20" spans="1:5">
      <c r="B20" s="23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&amp;RLisa 5
Tartu Linnavolikogu 20.12.2012. a 
määruse nr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lisa 1(koond)</vt:lpstr>
      <vt:lpstr>lisa 2 (Tulubaas)</vt:lpstr>
      <vt:lpstr>lisa 3 (põhitegevus)</vt:lpstr>
      <vt:lpstr>Lisa 4 (invest)</vt:lpstr>
      <vt:lpstr>Lisa 5 (finants)</vt:lpstr>
      <vt:lpstr>'lisa 3 (põhitegevus)'!Prinditiitlid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Indrek_K</cp:lastModifiedBy>
  <cp:lastPrinted>2012-11-16T06:20:34Z</cp:lastPrinted>
  <dcterms:created xsi:type="dcterms:W3CDTF">1996-10-14T23:33:28Z</dcterms:created>
  <dcterms:modified xsi:type="dcterms:W3CDTF">2012-11-19T14:29:03Z</dcterms:modified>
</cp:coreProperties>
</file>